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7995" windowHeight="3795"/>
  </bookViews>
  <sheets>
    <sheet name="CC borrador" sheetId="4" r:id="rId1"/>
    <sheet name="Diario CAE" sheetId="2" r:id="rId2"/>
    <sheet name="Conversiones" sheetId="5" r:id="rId3"/>
    <sheet name="ACC OK" sheetId="6" r:id="rId4"/>
    <sheet name="Depreciaciones" sheetId="7" r:id="rId5"/>
    <sheet name="Diario OK" sheetId="8" r:id="rId6"/>
    <sheet name="Organigrama" sheetId="9" r:id="rId7"/>
  </sheets>
  <definedNames>
    <definedName name="_xlnm.Print_Area" localSheetId="0">'CC borrador'!$A$1:$N$38</definedName>
    <definedName name="_xlnm.Print_Area" localSheetId="1">'Diario CAE'!$A$1:$F$241</definedName>
  </definedNames>
  <calcPr calcId="145621"/>
</workbook>
</file>

<file path=xl/calcChain.xml><?xml version="1.0" encoding="utf-8"?>
<calcChain xmlns="http://schemas.openxmlformats.org/spreadsheetml/2006/main">
  <c r="D120" i="8" l="1"/>
  <c r="D33" i="4"/>
  <c r="D33" i="8"/>
  <c r="D115" i="8" s="1"/>
  <c r="E37" i="4"/>
  <c r="F39" i="6"/>
  <c r="F42" i="6" s="1"/>
  <c r="E3" i="7"/>
  <c r="C32" i="5"/>
  <c r="L33" i="5"/>
  <c r="C29" i="5"/>
  <c r="L30" i="5"/>
  <c r="C211" i="8"/>
  <c r="D210" i="8"/>
  <c r="C210" i="8"/>
  <c r="C209" i="8"/>
  <c r="C208" i="8"/>
  <c r="C207" i="8"/>
  <c r="C206" i="8"/>
  <c r="C205" i="8"/>
  <c r="C204" i="8"/>
  <c r="B190" i="8"/>
  <c r="B189" i="8"/>
  <c r="B188" i="8"/>
  <c r="C187" i="8"/>
  <c r="B187" i="8"/>
  <c r="C186" i="8"/>
  <c r="B186" i="8"/>
  <c r="C185" i="8"/>
  <c r="B185" i="8"/>
  <c r="C184" i="8"/>
  <c r="B184" i="8"/>
  <c r="C183" i="8"/>
  <c r="B183" i="8"/>
  <c r="C182" i="8"/>
  <c r="B182" i="8"/>
  <c r="C181" i="8"/>
  <c r="B181" i="8"/>
  <c r="C180" i="8"/>
  <c r="B180" i="8"/>
  <c r="C179" i="8"/>
  <c r="B179" i="8"/>
  <c r="C178" i="8"/>
  <c r="B178" i="8"/>
  <c r="B177" i="8"/>
  <c r="B176" i="8"/>
  <c r="E168" i="8"/>
  <c r="D213" i="8" s="1"/>
  <c r="C163" i="8"/>
  <c r="C165" i="8" s="1"/>
  <c r="A163" i="8"/>
  <c r="A165" i="8" s="1"/>
  <c r="C154" i="8"/>
  <c r="B154" i="8"/>
  <c r="C153" i="8"/>
  <c r="B153" i="8"/>
  <c r="C152" i="8"/>
  <c r="B152" i="8"/>
  <c r="C151" i="8"/>
  <c r="B151" i="8"/>
  <c r="C150" i="8"/>
  <c r="B150" i="8"/>
  <c r="C149" i="8"/>
  <c r="B149" i="8"/>
  <c r="C148" i="8"/>
  <c r="B148" i="8"/>
  <c r="C147" i="8"/>
  <c r="B147" i="8"/>
  <c r="C146" i="8"/>
  <c r="B146" i="8"/>
  <c r="C145" i="8"/>
  <c r="B145" i="8"/>
  <c r="C144" i="8"/>
  <c r="C143" i="8"/>
  <c r="B143" i="8"/>
  <c r="C142" i="8"/>
  <c r="B142" i="8"/>
  <c r="C141" i="8"/>
  <c r="B141" i="8"/>
  <c r="C140" i="8"/>
  <c r="B140" i="8"/>
  <c r="C139" i="8"/>
  <c r="B139" i="8"/>
  <c r="C138" i="8"/>
  <c r="B138" i="8"/>
  <c r="C137" i="8"/>
  <c r="B137" i="8"/>
  <c r="C136" i="8"/>
  <c r="B136" i="8"/>
  <c r="C135" i="8"/>
  <c r="B135" i="8"/>
  <c r="C134" i="8"/>
  <c r="B134" i="8"/>
  <c r="C133" i="8"/>
  <c r="D132" i="8"/>
  <c r="D128" i="8"/>
  <c r="D124" i="8"/>
  <c r="D123" i="8"/>
  <c r="C121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D95" i="8"/>
  <c r="D89" i="8"/>
  <c r="D185" i="8"/>
  <c r="D87" i="8"/>
  <c r="D183" i="8"/>
  <c r="D86" i="8"/>
  <c r="D182" i="8"/>
  <c r="D85" i="8"/>
  <c r="D181" i="8"/>
  <c r="D81" i="8"/>
  <c r="D177" i="8"/>
  <c r="C81" i="8"/>
  <c r="C177" i="8"/>
  <c r="C80" i="8"/>
  <c r="C176" i="8"/>
  <c r="D78" i="8"/>
  <c r="D154" i="8"/>
  <c r="D74" i="8"/>
  <c r="D150" i="8"/>
  <c r="D70" i="8"/>
  <c r="D146" i="8"/>
  <c r="D69" i="8"/>
  <c r="D145" i="8"/>
  <c r="D67" i="8"/>
  <c r="D143" i="8"/>
  <c r="D63" i="8"/>
  <c r="D139" i="8"/>
  <c r="D59" i="8"/>
  <c r="D135" i="8"/>
  <c r="D58" i="8"/>
  <c r="D134" i="8"/>
  <c r="D56" i="8"/>
  <c r="D52" i="8"/>
  <c r="C50" i="8"/>
  <c r="C49" i="8"/>
  <c r="D48" i="8"/>
  <c r="C48" i="8"/>
  <c r="D47" i="8"/>
  <c r="D42" i="8"/>
  <c r="D209" i="8" s="1"/>
  <c r="D41" i="8"/>
  <c r="D208" i="8" s="1"/>
  <c r="D40" i="8"/>
  <c r="D207" i="8" s="1"/>
  <c r="C35" i="8"/>
  <c r="D32" i="8"/>
  <c r="D114" i="8" s="1"/>
  <c r="D31" i="8"/>
  <c r="D113" i="8" s="1"/>
  <c r="D30" i="8"/>
  <c r="D112" i="8" s="1"/>
  <c r="D29" i="8"/>
  <c r="D111" i="8" s="1"/>
  <c r="D28" i="8"/>
  <c r="D110" i="8" s="1"/>
  <c r="D27" i="8"/>
  <c r="D109" i="8" s="1"/>
  <c r="D26" i="8"/>
  <c r="D108" i="8" s="1"/>
  <c r="D25" i="8"/>
  <c r="D107" i="8" s="1"/>
  <c r="D23" i="8"/>
  <c r="D105" i="8" s="1"/>
  <c r="D16" i="8"/>
  <c r="D15" i="8"/>
  <c r="D118" i="8" s="1"/>
  <c r="E3" i="8"/>
  <c r="D7" i="8"/>
  <c r="F6" i="8" s="1"/>
  <c r="D41" i="2"/>
  <c r="D132" i="2"/>
  <c r="D128" i="2"/>
  <c r="D126" i="2"/>
  <c r="D124" i="2"/>
  <c r="D123" i="2"/>
  <c r="D95" i="2"/>
  <c r="D93" i="2"/>
  <c r="D89" i="2"/>
  <c r="D87" i="2"/>
  <c r="D86" i="2"/>
  <c r="D85" i="2"/>
  <c r="D78" i="2"/>
  <c r="D154" i="2" s="1"/>
  <c r="D74" i="2"/>
  <c r="D150" i="2" s="1"/>
  <c r="D70" i="2"/>
  <c r="D69" i="2"/>
  <c r="D67" i="2"/>
  <c r="D143" i="2" s="1"/>
  <c r="D63" i="2"/>
  <c r="D139" i="2" s="1"/>
  <c r="D59" i="2"/>
  <c r="D135" i="2" s="1"/>
  <c r="D58" i="2"/>
  <c r="D56" i="2"/>
  <c r="D52" i="2"/>
  <c r="D48" i="2"/>
  <c r="D47" i="2"/>
  <c r="D42" i="2"/>
  <c r="D40" i="2"/>
  <c r="D207" i="2" s="1"/>
  <c r="D32" i="2"/>
  <c r="D31" i="2"/>
  <c r="D30" i="2"/>
  <c r="D29" i="2"/>
  <c r="D28" i="2"/>
  <c r="D27" i="2"/>
  <c r="D26" i="2"/>
  <c r="D25" i="2"/>
  <c r="D107" i="2" s="1"/>
  <c r="D23" i="2"/>
  <c r="D105" i="2" s="1"/>
  <c r="G33" i="4"/>
  <c r="H33" i="4"/>
  <c r="D66" i="8" s="1"/>
  <c r="D142" i="8" s="1"/>
  <c r="I33" i="4"/>
  <c r="C17" i="7"/>
  <c r="F16" i="7"/>
  <c r="F15" i="7"/>
  <c r="E14" i="7"/>
  <c r="F14" i="7" s="1"/>
  <c r="E12" i="7"/>
  <c r="F12" i="7" s="1"/>
  <c r="E11" i="7"/>
  <c r="F11" i="7" s="1"/>
  <c r="E10" i="7"/>
  <c r="F10" i="7" s="1"/>
  <c r="E9" i="7"/>
  <c r="F9" i="7" s="1"/>
  <c r="E8" i="7"/>
  <c r="F8" i="7" s="1"/>
  <c r="E7" i="7"/>
  <c r="F7" i="7" s="1"/>
  <c r="E6" i="7"/>
  <c r="F6" i="7" s="1"/>
  <c r="E5" i="7"/>
  <c r="F5" i="7" s="1"/>
  <c r="F17" i="7" s="1"/>
  <c r="F32" i="4"/>
  <c r="F31" i="4"/>
  <c r="D93" i="8" s="1"/>
  <c r="D189" i="8" s="1"/>
  <c r="F29" i="4"/>
  <c r="F28" i="4"/>
  <c r="D91" i="8" s="1"/>
  <c r="D187" i="8" s="1"/>
  <c r="F27" i="4"/>
  <c r="F25" i="4"/>
  <c r="N20" i="4"/>
  <c r="M20" i="4"/>
  <c r="L20" i="4"/>
  <c r="K20" i="4"/>
  <c r="J20" i="4"/>
  <c r="I20" i="4"/>
  <c r="D72" i="8" s="1"/>
  <c r="D148" i="8" s="1"/>
  <c r="H20" i="4"/>
  <c r="G20" i="4"/>
  <c r="N19" i="4"/>
  <c r="N21" i="4" s="1"/>
  <c r="M19" i="4"/>
  <c r="L19" i="4"/>
  <c r="L21" i="4" s="1"/>
  <c r="K19" i="4"/>
  <c r="J19" i="4"/>
  <c r="J21" i="4" s="1"/>
  <c r="I19" i="4"/>
  <c r="H19" i="4"/>
  <c r="G19" i="4"/>
  <c r="F19" i="4"/>
  <c r="F16" i="4"/>
  <c r="D80" i="8" s="1"/>
  <c r="G6" i="4"/>
  <c r="E22" i="4"/>
  <c r="E18" i="4"/>
  <c r="E17" i="4"/>
  <c r="D22" i="4"/>
  <c r="D18" i="4"/>
  <c r="D18" i="8" s="1"/>
  <c r="D100" i="8" s="1"/>
  <c r="D17" i="4"/>
  <c r="N20" i="6"/>
  <c r="M20" i="6"/>
  <c r="L20" i="6"/>
  <c r="K20" i="6"/>
  <c r="J20" i="6"/>
  <c r="I20" i="6"/>
  <c r="H20" i="6"/>
  <c r="G20" i="6"/>
  <c r="D17" i="6"/>
  <c r="K39" i="6"/>
  <c r="K42" i="6" s="1"/>
  <c r="D22" i="6"/>
  <c r="E22" i="6"/>
  <c r="E17" i="6"/>
  <c r="D18" i="6"/>
  <c r="E18" i="6"/>
  <c r="F27" i="6"/>
  <c r="I24" i="6"/>
  <c r="H24" i="6"/>
  <c r="G24" i="6"/>
  <c r="F32" i="6"/>
  <c r="F31" i="6"/>
  <c r="F29" i="6"/>
  <c r="F28" i="6"/>
  <c r="F25" i="6"/>
  <c r="N19" i="6"/>
  <c r="N39" i="6" s="1"/>
  <c r="N42" i="6" s="1"/>
  <c r="N21" i="6"/>
  <c r="M19" i="6"/>
  <c r="M21" i="6"/>
  <c r="M39" i="6" s="1"/>
  <c r="M42" i="6" s="1"/>
  <c r="L19" i="6"/>
  <c r="L39" i="6" s="1"/>
  <c r="L42" i="6" s="1"/>
  <c r="L21" i="6"/>
  <c r="K19" i="6"/>
  <c r="K21" i="6"/>
  <c r="J19" i="6"/>
  <c r="J39" i="6" s="1"/>
  <c r="J21" i="6"/>
  <c r="I19" i="6"/>
  <c r="I21" i="6"/>
  <c r="H19" i="6"/>
  <c r="H21" i="6"/>
  <c r="G19" i="6"/>
  <c r="F19" i="6"/>
  <c r="F21" i="6" s="1"/>
  <c r="E19" i="6"/>
  <c r="E21" i="6" s="1"/>
  <c r="F16" i="6"/>
  <c r="G6" i="6"/>
  <c r="F22" i="5"/>
  <c r="L21" i="5"/>
  <c r="L24" i="5"/>
  <c r="K21" i="5"/>
  <c r="K24" i="5"/>
  <c r="J21" i="5"/>
  <c r="J24" i="5"/>
  <c r="I21" i="5"/>
  <c r="I24" i="5"/>
  <c r="H21" i="5"/>
  <c r="H24" i="5"/>
  <c r="G21" i="5"/>
  <c r="G24" i="5"/>
  <c r="F21" i="5"/>
  <c r="F24" i="5"/>
  <c r="E21" i="5"/>
  <c r="E24" i="5"/>
  <c r="D21" i="5"/>
  <c r="D24" i="5"/>
  <c r="C21" i="5"/>
  <c r="C24" i="5"/>
  <c r="B21" i="5"/>
  <c r="B24" i="5"/>
  <c r="I25" i="5" s="1"/>
  <c r="A21" i="5"/>
  <c r="A24" i="5" s="1"/>
  <c r="E8" i="5"/>
  <c r="E11" i="5" s="1"/>
  <c r="D8" i="5"/>
  <c r="D11" i="5" s="1"/>
  <c r="C8" i="5"/>
  <c r="C11" i="5" s="1"/>
  <c r="B8" i="5"/>
  <c r="B11" i="5" s="1"/>
  <c r="F9" i="5"/>
  <c r="A8" i="5"/>
  <c r="A11" i="5"/>
  <c r="L8" i="5"/>
  <c r="L11" i="5"/>
  <c r="K8" i="5"/>
  <c r="K11" i="5"/>
  <c r="J8" i="5"/>
  <c r="J11" i="5"/>
  <c r="I8" i="5"/>
  <c r="I11" i="5"/>
  <c r="H8" i="5"/>
  <c r="H11" i="5"/>
  <c r="G8" i="5"/>
  <c r="G11" i="5"/>
  <c r="F8" i="5"/>
  <c r="F11" i="5"/>
  <c r="D15" i="2"/>
  <c r="D35" i="2"/>
  <c r="F34" i="2" s="1"/>
  <c r="D16" i="2"/>
  <c r="D10" i="2"/>
  <c r="E9" i="2" s="1"/>
  <c r="D36" i="2"/>
  <c r="D97" i="2"/>
  <c r="D98" i="2"/>
  <c r="D17" i="2"/>
  <c r="D99" i="2" s="1"/>
  <c r="D18" i="2"/>
  <c r="D100" i="2" s="1"/>
  <c r="D108" i="2"/>
  <c r="D109" i="2"/>
  <c r="D110" i="2"/>
  <c r="D111" i="2"/>
  <c r="D112" i="2"/>
  <c r="D113" i="2"/>
  <c r="D114" i="2"/>
  <c r="D50" i="2"/>
  <c r="D134" i="2"/>
  <c r="D145" i="2"/>
  <c r="D146" i="2"/>
  <c r="D118" i="2"/>
  <c r="D159" i="2" s="1"/>
  <c r="D119" i="2"/>
  <c r="D160" i="2" s="1"/>
  <c r="D80" i="2"/>
  <c r="D176" i="2" s="1"/>
  <c r="D81" i="2"/>
  <c r="D82" i="2"/>
  <c r="D208" i="2"/>
  <c r="D209" i="2"/>
  <c r="E3" i="2"/>
  <c r="C211" i="2"/>
  <c r="C206" i="2"/>
  <c r="C207" i="2"/>
  <c r="C208" i="2"/>
  <c r="C209" i="2"/>
  <c r="C210" i="2"/>
  <c r="C205" i="2"/>
  <c r="C204" i="2"/>
  <c r="D177" i="2"/>
  <c r="D178" i="2"/>
  <c r="D181" i="2"/>
  <c r="D182" i="2"/>
  <c r="D183" i="2"/>
  <c r="D185" i="2"/>
  <c r="D189" i="2"/>
  <c r="C81" i="2"/>
  <c r="C177" i="2" s="1"/>
  <c r="C178" i="2"/>
  <c r="C179" i="2"/>
  <c r="C180" i="2"/>
  <c r="C181" i="2"/>
  <c r="C182" i="2"/>
  <c r="C183" i="2"/>
  <c r="C184" i="2"/>
  <c r="C185" i="2"/>
  <c r="C186" i="2"/>
  <c r="C187" i="2"/>
  <c r="C80" i="2"/>
  <c r="C176" i="2" s="1"/>
  <c r="B190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76" i="2"/>
  <c r="C163" i="2"/>
  <c r="C165" i="2"/>
  <c r="A163" i="2"/>
  <c r="A165" i="2"/>
  <c r="C48" i="2"/>
  <c r="C49" i="2"/>
  <c r="C50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B134" i="2"/>
  <c r="B135" i="2"/>
  <c r="B136" i="2"/>
  <c r="B137" i="2"/>
  <c r="B138" i="2"/>
  <c r="B139" i="2"/>
  <c r="B140" i="2"/>
  <c r="B141" i="2"/>
  <c r="B142" i="2"/>
  <c r="B143" i="2"/>
  <c r="B145" i="2"/>
  <c r="B146" i="2"/>
  <c r="B147" i="2"/>
  <c r="B148" i="2"/>
  <c r="B149" i="2"/>
  <c r="B150" i="2"/>
  <c r="B151" i="2"/>
  <c r="B152" i="2"/>
  <c r="B153" i="2"/>
  <c r="B154" i="2"/>
  <c r="C121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97" i="2"/>
  <c r="C35" i="2"/>
  <c r="F20" i="6"/>
  <c r="D20" i="6" s="1"/>
  <c r="I35" i="6"/>
  <c r="H35" i="6"/>
  <c r="G35" i="6"/>
  <c r="D35" i="6" s="1"/>
  <c r="E20" i="6"/>
  <c r="G30" i="6"/>
  <c r="H30" i="6"/>
  <c r="I30" i="6"/>
  <c r="E30" i="6" s="1"/>
  <c r="G24" i="4"/>
  <c r="I24" i="4"/>
  <c r="H30" i="4"/>
  <c r="E168" i="2"/>
  <c r="D159" i="8"/>
  <c r="F170" i="8"/>
  <c r="D35" i="8"/>
  <c r="D97" i="8"/>
  <c r="D210" i="2"/>
  <c r="B30" i="5"/>
  <c r="C30" i="5"/>
  <c r="D30" i="5"/>
  <c r="E30" i="5"/>
  <c r="G30" i="5"/>
  <c r="H30" i="5"/>
  <c r="I30" i="5"/>
  <c r="J30" i="5"/>
  <c r="K30" i="5"/>
  <c r="B33" i="5"/>
  <c r="C33" i="5"/>
  <c r="D33" i="5"/>
  <c r="E33" i="5"/>
  <c r="G33" i="5"/>
  <c r="H33" i="5"/>
  <c r="I33" i="5"/>
  <c r="J33" i="5"/>
  <c r="K33" i="5"/>
  <c r="D33" i="2" l="1"/>
  <c r="D115" i="2" s="1"/>
  <c r="H39" i="6"/>
  <c r="D39" i="6"/>
  <c r="D42" i="6" s="1"/>
  <c r="F170" i="2"/>
  <c r="E234" i="2" s="1"/>
  <c r="D213" i="2"/>
  <c r="D129" i="8"/>
  <c r="D129" i="2"/>
  <c r="D53" i="8"/>
  <c r="D53" i="2"/>
  <c r="J42" i="6"/>
  <c r="E40" i="6"/>
  <c r="D24" i="6"/>
  <c r="E24" i="6"/>
  <c r="E39" i="6" s="1"/>
  <c r="E42" i="6" s="1"/>
  <c r="B28" i="5" s="1"/>
  <c r="D17" i="8"/>
  <c r="E20" i="4"/>
  <c r="E19" i="4"/>
  <c r="D82" i="8"/>
  <c r="D178" i="8" s="1"/>
  <c r="F21" i="4"/>
  <c r="D19" i="4"/>
  <c r="F20" i="4"/>
  <c r="D60" i="8"/>
  <c r="D60" i="2"/>
  <c r="H21" i="4"/>
  <c r="D61" i="8"/>
  <c r="D137" i="8" s="1"/>
  <c r="D61" i="2"/>
  <c r="D137" i="2" s="1"/>
  <c r="D90" i="8"/>
  <c r="D186" i="8" s="1"/>
  <c r="D90" i="2"/>
  <c r="D186" i="2" s="1"/>
  <c r="D92" i="8"/>
  <c r="D188" i="8" s="1"/>
  <c r="D92" i="2"/>
  <c r="D188" i="2" s="1"/>
  <c r="D94" i="8"/>
  <c r="D190" i="8" s="1"/>
  <c r="D94" i="2"/>
  <c r="D190" i="2" s="1"/>
  <c r="L34" i="4"/>
  <c r="L37" i="4" s="1"/>
  <c r="F34" i="4"/>
  <c r="F37" i="4" s="1"/>
  <c r="D77" i="8"/>
  <c r="D153" i="8" s="1"/>
  <c r="D77" i="2"/>
  <c r="D153" i="2" s="1"/>
  <c r="D131" i="8"/>
  <c r="D131" i="2"/>
  <c r="D55" i="8"/>
  <c r="D55" i="2"/>
  <c r="F34" i="8"/>
  <c r="D12" i="2"/>
  <c r="D65" i="8"/>
  <c r="D141" i="8" s="1"/>
  <c r="D65" i="2"/>
  <c r="D141" i="2" s="1"/>
  <c r="D75" i="8"/>
  <c r="D151" i="8" s="1"/>
  <c r="D75" i="2"/>
  <c r="D151" i="2" s="1"/>
  <c r="D7" i="2"/>
  <c r="D214" i="2"/>
  <c r="I12" i="5"/>
  <c r="G21" i="6"/>
  <c r="G39" i="6"/>
  <c r="D19" i="6"/>
  <c r="D21" i="6" s="1"/>
  <c r="I39" i="6"/>
  <c r="D22" i="8"/>
  <c r="D104" i="8" s="1"/>
  <c r="D22" i="2"/>
  <c r="D104" i="2" s="1"/>
  <c r="D119" i="8"/>
  <c r="I30" i="4"/>
  <c r="H24" i="4"/>
  <c r="G30" i="4"/>
  <c r="D122" i="8"/>
  <c r="D46" i="8"/>
  <c r="D122" i="2"/>
  <c r="D46" i="2"/>
  <c r="D125" i="8"/>
  <c r="D49" i="8"/>
  <c r="D125" i="2"/>
  <c r="D49" i="2"/>
  <c r="G21" i="4"/>
  <c r="D71" i="8"/>
  <c r="D71" i="2"/>
  <c r="D147" i="2" s="1"/>
  <c r="I21" i="4"/>
  <c r="I34" i="4"/>
  <c r="I37" i="4" s="1"/>
  <c r="K21" i="4"/>
  <c r="K34" i="4" s="1"/>
  <c r="K37" i="4" s="1"/>
  <c r="M21" i="4"/>
  <c r="M34" i="4" s="1"/>
  <c r="M37" i="4" s="1"/>
  <c r="N34" i="4"/>
  <c r="N37" i="4" s="1"/>
  <c r="J34" i="4"/>
  <c r="J37" i="4" s="1"/>
  <c r="E17" i="7"/>
  <c r="D98" i="8"/>
  <c r="D10" i="8"/>
  <c r="D36" i="8"/>
  <c r="D203" i="8"/>
  <c r="D176" i="8"/>
  <c r="D50" i="8"/>
  <c r="D126" i="8"/>
  <c r="D88" i="8"/>
  <c r="D184" i="8" s="1"/>
  <c r="D88" i="2"/>
  <c r="D184" i="2" s="1"/>
  <c r="D66" i="2"/>
  <c r="D142" i="2" s="1"/>
  <c r="D72" i="2"/>
  <c r="D148" i="2" s="1"/>
  <c r="D91" i="2"/>
  <c r="D187" i="2" s="1"/>
  <c r="L34" i="5" l="1"/>
  <c r="C31" i="5"/>
  <c r="E31" i="5"/>
  <c r="H31" i="5"/>
  <c r="J31" i="5"/>
  <c r="L31" i="5"/>
  <c r="B31" i="5"/>
  <c r="G31" i="5"/>
  <c r="K31" i="5"/>
  <c r="D34" i="5"/>
  <c r="I34" i="5"/>
  <c r="D31" i="5"/>
  <c r="I31" i="5"/>
  <c r="B34" i="5"/>
  <c r="G34" i="5"/>
  <c r="K34" i="5"/>
  <c r="H34" i="5"/>
  <c r="C34" i="5"/>
  <c r="J34" i="5"/>
  <c r="E34" i="5"/>
  <c r="D12" i="8"/>
  <c r="E9" i="8"/>
  <c r="D214" i="8" s="1"/>
  <c r="F212" i="8" s="1"/>
  <c r="D127" i="8"/>
  <c r="D127" i="2"/>
  <c r="D51" i="8"/>
  <c r="D51" i="2"/>
  <c r="E45" i="2" s="1"/>
  <c r="G34" i="4"/>
  <c r="G37" i="4" s="1"/>
  <c r="D64" i="8"/>
  <c r="D140" i="8" s="1"/>
  <c r="D64" i="2"/>
  <c r="D140" i="2" s="1"/>
  <c r="E24" i="4"/>
  <c r="D120" i="2" s="1"/>
  <c r="D160" i="8"/>
  <c r="G42" i="6"/>
  <c r="D204" i="2"/>
  <c r="F11" i="2"/>
  <c r="D62" i="8"/>
  <c r="D138" i="8" s="1"/>
  <c r="D62" i="2"/>
  <c r="D138" i="2" s="1"/>
  <c r="D136" i="8"/>
  <c r="E57" i="8"/>
  <c r="D19" i="8"/>
  <c r="D101" i="8" s="1"/>
  <c r="D21" i="4"/>
  <c r="D19" i="2"/>
  <c r="G40" i="6"/>
  <c r="H40" i="6"/>
  <c r="H42" i="6" s="1"/>
  <c r="F212" i="2"/>
  <c r="D73" i="8"/>
  <c r="D149" i="8" s="1"/>
  <c r="D73" i="2"/>
  <c r="D149" i="2" s="1"/>
  <c r="F144" i="2" s="1"/>
  <c r="D147" i="8"/>
  <c r="E45" i="8"/>
  <c r="D54" i="8"/>
  <c r="D130" i="8"/>
  <c r="F121" i="8" s="1"/>
  <c r="D54" i="2"/>
  <c r="D130" i="2"/>
  <c r="F121" i="2" s="1"/>
  <c r="E30" i="4"/>
  <c r="D76" i="8"/>
  <c r="D152" i="8" s="1"/>
  <c r="D76" i="2"/>
  <c r="D152" i="2" s="1"/>
  <c r="I40" i="6"/>
  <c r="I42" i="6" s="1"/>
  <c r="D203" i="2"/>
  <c r="F6" i="2"/>
  <c r="H34" i="4"/>
  <c r="H37" i="4" s="1"/>
  <c r="E57" i="2"/>
  <c r="D136" i="2"/>
  <c r="D83" i="8"/>
  <c r="D179" i="8" s="1"/>
  <c r="D83" i="2"/>
  <c r="D20" i="4"/>
  <c r="D84" i="8"/>
  <c r="D180" i="8" s="1"/>
  <c r="D84" i="2"/>
  <c r="D180" i="2" s="1"/>
  <c r="E21" i="4"/>
  <c r="E34" i="4"/>
  <c r="D99" i="8"/>
  <c r="D38" i="2"/>
  <c r="D24" i="4"/>
  <c r="E237" i="2"/>
  <c r="D161" i="2" l="1"/>
  <c r="F158" i="2" s="1"/>
  <c r="E117" i="2"/>
  <c r="D157" i="2" s="1"/>
  <c r="E156" i="2" s="1"/>
  <c r="D164" i="2" s="1"/>
  <c r="D161" i="8"/>
  <c r="F158" i="8" s="1"/>
  <c r="E117" i="8"/>
  <c r="D157" i="8" s="1"/>
  <c r="E156" i="8" s="1"/>
  <c r="D164" i="8" s="1"/>
  <c r="D205" i="2"/>
  <c r="D20" i="8"/>
  <c r="D20" i="2"/>
  <c r="D102" i="2" s="1"/>
  <c r="D34" i="4"/>
  <c r="D37" i="4" s="1"/>
  <c r="E68" i="8"/>
  <c r="E79" i="8"/>
  <c r="F175" i="8" s="1"/>
  <c r="D38" i="8"/>
  <c r="D21" i="8"/>
  <c r="D103" i="8" s="1"/>
  <c r="D21" i="2"/>
  <c r="D103" i="2" s="1"/>
  <c r="L28" i="5"/>
  <c r="G28" i="5"/>
  <c r="D24" i="8"/>
  <c r="D106" i="8" s="1"/>
  <c r="D24" i="2"/>
  <c r="D106" i="2" s="1"/>
  <c r="D39" i="8"/>
  <c r="D206" i="8" s="1"/>
  <c r="D39" i="2"/>
  <c r="D206" i="2" s="1"/>
  <c r="D179" i="2"/>
  <c r="E79" i="2"/>
  <c r="F175" i="2" s="1"/>
  <c r="F133" i="2"/>
  <c r="F144" i="8"/>
  <c r="D101" i="2"/>
  <c r="F96" i="2" s="1"/>
  <c r="F133" i="8"/>
  <c r="E68" i="2"/>
  <c r="F11" i="8"/>
  <c r="D204" i="8"/>
  <c r="D205" i="8" l="1"/>
  <c r="F37" i="8"/>
  <c r="D102" i="8"/>
  <c r="F96" i="8" s="1"/>
  <c r="E14" i="8"/>
  <c r="F37" i="2"/>
  <c r="D166" i="8"/>
  <c r="F165" i="8" s="1"/>
  <c r="E163" i="8"/>
  <c r="F173" i="8" s="1"/>
  <c r="E163" i="2"/>
  <c r="F173" i="2" s="1"/>
  <c r="D166" i="2"/>
  <c r="F165" i="2" s="1"/>
  <c r="E14" i="2"/>
  <c r="D174" i="8" l="1"/>
  <c r="E172" i="8"/>
  <c r="D195" i="8" s="1"/>
  <c r="E172" i="2"/>
  <c r="D174" i="2"/>
  <c r="E193" i="8" l="1"/>
  <c r="D211" i="8"/>
  <c r="E202" i="8" s="1"/>
  <c r="F194" i="8"/>
  <c r="D234" i="2"/>
  <c r="D195" i="2"/>
  <c r="D236" i="2" l="1"/>
  <c r="E193" i="2" s="1"/>
  <c r="E230" i="2" s="1"/>
  <c r="D211" i="2"/>
  <c r="E202" i="2" s="1"/>
  <c r="F194" i="2"/>
  <c r="F230" i="2" s="1"/>
  <c r="D237" i="2" l="1"/>
</calcChain>
</file>

<file path=xl/sharedStrings.xml><?xml version="1.0" encoding="utf-8"?>
<sst xmlns="http://schemas.openxmlformats.org/spreadsheetml/2006/main" count="480" uniqueCount="169">
  <si>
    <t>Salarios</t>
  </si>
  <si>
    <t>Vacaciones</t>
  </si>
  <si>
    <t>CTS</t>
  </si>
  <si>
    <t>INVENTARIO PERMANENTE</t>
  </si>
  <si>
    <t xml:space="preserve">     CUENTAS REFLEJAS</t>
  </si>
  <si>
    <t>COSTOS POR DISTRIBUIR</t>
  </si>
  <si>
    <t xml:space="preserve">     INVENTARIO PERMANENTE</t>
  </si>
  <si>
    <t>GASTOS CORPORATIVOS</t>
  </si>
  <si>
    <t xml:space="preserve">     COSTOS POR DISTRIBUIR</t>
  </si>
  <si>
    <t>COSTO DE PRODUCCIÓN</t>
  </si>
  <si>
    <t>Mano de Obra</t>
  </si>
  <si>
    <t>Gastos Generales</t>
  </si>
  <si>
    <t>Productos Terminados</t>
  </si>
  <si>
    <t xml:space="preserve">     COSTO DE PRODUCCIÓN</t>
  </si>
  <si>
    <t>Costo de Ventas</t>
  </si>
  <si>
    <t xml:space="preserve">     Productos Terminados</t>
  </si>
  <si>
    <t>CUENTAS REFLEJAS</t>
  </si>
  <si>
    <t>Ventas reflejas</t>
  </si>
  <si>
    <t xml:space="preserve">     RESULTADO ANALÍTICO</t>
  </si>
  <si>
    <t>RESULTADO ANALÍTICO</t>
  </si>
  <si>
    <t xml:space="preserve">     Costo de Ventas</t>
  </si>
  <si>
    <t xml:space="preserve">     GASTOS CORPORATIVOS</t>
  </si>
  <si>
    <t>COSTOS</t>
  </si>
  <si>
    <t>Costo</t>
  </si>
  <si>
    <t>Gastos</t>
  </si>
  <si>
    <t>POR</t>
  </si>
  <si>
    <t>de</t>
  </si>
  <si>
    <t>Corporativos</t>
  </si>
  <si>
    <t>DISTRIBUIR</t>
  </si>
  <si>
    <t>Producción</t>
  </si>
  <si>
    <t>Sueldos</t>
  </si>
  <si>
    <t xml:space="preserve"> </t>
  </si>
  <si>
    <t>Universidad Nacional "Hermilio Valdizán" - Huánuco</t>
  </si>
  <si>
    <t>Alquileres</t>
  </si>
  <si>
    <t>Tributos a gobiernos locales</t>
  </si>
  <si>
    <t>Seguros</t>
  </si>
  <si>
    <t>Depreciaciones</t>
  </si>
  <si>
    <t xml:space="preserve"> Pérdidas y Ganancias reflejas</t>
  </si>
  <si>
    <t>Industriales</t>
  </si>
  <si>
    <t>Destilación Primaria</t>
  </si>
  <si>
    <t xml:space="preserve">Unidad de </t>
  </si>
  <si>
    <t>Unidad de</t>
  </si>
  <si>
    <t>Destilación al Vacío</t>
  </si>
  <si>
    <t>Craqueo Catalítico</t>
  </si>
  <si>
    <t>Almacenamiento</t>
  </si>
  <si>
    <t>Diseño: CPCC. Yónel Chocano Figueroa.</t>
  </si>
  <si>
    <t>Materias primas</t>
  </si>
  <si>
    <t>Meritorio aplicativo del Sistema de Contabilidad de Costos para Empresas del Sector Hidrocarburos, en el Perú</t>
  </si>
  <si>
    <t xml:space="preserve">Suscripciones y cotizaciones </t>
  </si>
  <si>
    <t xml:space="preserve">divisionaria </t>
  </si>
  <si>
    <t xml:space="preserve">Sub-cuenta, </t>
  </si>
  <si>
    <t>o subdivisionaria</t>
  </si>
  <si>
    <t>Útiles de escritorio</t>
  </si>
  <si>
    <t>Promedio</t>
  </si>
  <si>
    <t>Gasolinas</t>
  </si>
  <si>
    <t>Kerosene</t>
  </si>
  <si>
    <t>GLP</t>
  </si>
  <si>
    <t>Diesel B2</t>
  </si>
  <si>
    <t>Petróleo 500</t>
  </si>
  <si>
    <t>Petróleo 6</t>
  </si>
  <si>
    <t>Otros Productos</t>
  </si>
  <si>
    <t>Materia Prima</t>
  </si>
  <si>
    <t>Barriles de Crudo a $</t>
  </si>
  <si>
    <t>Elaboración Propia de Yónel Chocano Figueroa para la asignatura de Contabilidad de Costos Aplicados II</t>
  </si>
  <si>
    <t>Precio en Planta</t>
  </si>
  <si>
    <t>Costo en Nuevos Soles</t>
  </si>
  <si>
    <t xml:space="preserve">Bio </t>
  </si>
  <si>
    <t>Jet A1</t>
  </si>
  <si>
    <t>Turbo</t>
  </si>
  <si>
    <t>Venta Total                            S/.</t>
  </si>
  <si>
    <t>Centros de Costos de Servicios</t>
  </si>
  <si>
    <t xml:space="preserve"> Tanques de</t>
  </si>
  <si>
    <t>Planta de Servicios</t>
  </si>
  <si>
    <t xml:space="preserve"> de Ingº de Mantenimiento</t>
  </si>
  <si>
    <t>Laboratorio</t>
  </si>
  <si>
    <t>Control de Calidad</t>
  </si>
  <si>
    <t>Contra Incendios</t>
  </si>
  <si>
    <t>Sub Total</t>
  </si>
  <si>
    <t>Costo de Servicios</t>
  </si>
  <si>
    <t>Centros de Costos de Producción</t>
  </si>
  <si>
    <t>Talleres de Máq. Y Herram.</t>
  </si>
  <si>
    <t>Petróleo</t>
  </si>
  <si>
    <t>Cánones</t>
  </si>
  <si>
    <t>ANÁLISIS CIENTÍFICO DE COSTOS</t>
  </si>
  <si>
    <t>Seguridad y previsión social</t>
  </si>
  <si>
    <t>Linternas</t>
  </si>
  <si>
    <t>Extintores</t>
  </si>
  <si>
    <t>Probetas</t>
  </si>
  <si>
    <t>Lubricantes</t>
  </si>
  <si>
    <t>Estación</t>
  </si>
  <si>
    <t>Espuma para extintores</t>
  </si>
  <si>
    <t>Herramientas</t>
  </si>
  <si>
    <t>Nº</t>
  </si>
  <si>
    <t xml:space="preserve"> de Ing. de Mantenimiento</t>
  </si>
  <si>
    <t>Talleres de Máq. Y Herr.</t>
  </si>
  <si>
    <t>Transporte</t>
  </si>
  <si>
    <t>Agua</t>
  </si>
  <si>
    <t>Teléfono</t>
  </si>
  <si>
    <t>Mantenimiento y reparaciones</t>
  </si>
  <si>
    <t>Gastos bancarios</t>
  </si>
  <si>
    <t xml:space="preserve">Intereses por préstamos y otras oblig. </t>
  </si>
  <si>
    <t>Cód.</t>
  </si>
  <si>
    <t>Edificaciones</t>
  </si>
  <si>
    <t>Maquinarias y equipos de explotación</t>
  </si>
  <si>
    <t>Equipo de transporte</t>
  </si>
  <si>
    <t>Muebles y Enseres</t>
  </si>
  <si>
    <t>Equipos diversos</t>
  </si>
  <si>
    <t>Insumos de Laboratorio</t>
  </si>
  <si>
    <t>Crudo</t>
  </si>
  <si>
    <t>de Petróleo</t>
  </si>
  <si>
    <t>Dólar</t>
  </si>
  <si>
    <t>Compra</t>
  </si>
  <si>
    <t>Venta</t>
  </si>
  <si>
    <t>2.80</t>
  </si>
  <si>
    <t>2.83</t>
  </si>
  <si>
    <t>Materiales Aux., Suministros y Repuestos</t>
  </si>
  <si>
    <t>Materiales Aux., Sum. y Repuestos</t>
  </si>
  <si>
    <t>Gastos de personal, directores y gerentes reflejos</t>
  </si>
  <si>
    <t>Gastos de servicios prestados por terceros reflejos</t>
  </si>
  <si>
    <t>Gastos por tributos reflejos</t>
  </si>
  <si>
    <t>Otros gastos de gestión reflejos</t>
  </si>
  <si>
    <t>Gastos financieros reflejos</t>
  </si>
  <si>
    <t>Valuación y deterioro de activos y provisiones reflejos</t>
  </si>
  <si>
    <t>UNIDAD DE DESTILACIÓN PRIMARIA</t>
  </si>
  <si>
    <t xml:space="preserve">       Totales        S/.</t>
  </si>
  <si>
    <t>UNIDAD DE DESTILACIÓN AL VACÍO</t>
  </si>
  <si>
    <t>UNIDAD DE CRAQUEO CATALÍTICO</t>
  </si>
  <si>
    <t>Materias Primas</t>
  </si>
  <si>
    <t>Saldo final reflejo</t>
  </si>
  <si>
    <t>98 . RESUL. ANALITICO</t>
  </si>
  <si>
    <r>
      <t>Diario de Contabilidad Analítica de Explotación  MERITORIO 4       (</t>
    </r>
    <r>
      <rPr>
        <i/>
        <sz val="10"/>
        <rFont val="Arial"/>
        <family val="2"/>
      </rPr>
      <t>Refinería Apache Corporation)</t>
    </r>
  </si>
  <si>
    <t>ACTIVO</t>
  </si>
  <si>
    <t>Valor en Libros</t>
  </si>
  <si>
    <t>Tasa</t>
  </si>
  <si>
    <t>Del Ejercicio</t>
  </si>
  <si>
    <t>Acumulado</t>
  </si>
  <si>
    <t>DEPRECIACIÓN, AMORTIZACIÓN Y AGOTAMIENTO ACUMULADOS</t>
  </si>
  <si>
    <t xml:space="preserve">  Edificaciones</t>
  </si>
  <si>
    <t xml:space="preserve">  Maquinarias y equipo de explot.</t>
  </si>
  <si>
    <t xml:space="preserve">      Laboratorios</t>
  </si>
  <si>
    <t xml:space="preserve">  Unidades de transporte</t>
  </si>
  <si>
    <t xml:space="preserve">  Equipos diversos</t>
  </si>
  <si>
    <t xml:space="preserve">      Equipos de seguridad</t>
  </si>
  <si>
    <t>TOTAL</t>
  </si>
  <si>
    <t xml:space="preserve">      Refinería </t>
  </si>
  <si>
    <t xml:space="preserve">      Tanques de almacenamiento</t>
  </si>
  <si>
    <t xml:space="preserve">      Planta de servicios industriales</t>
  </si>
  <si>
    <t xml:space="preserve">      Estación contra incendios</t>
  </si>
  <si>
    <t xml:space="preserve">      Talleres de máquinas y herram.</t>
  </si>
  <si>
    <t xml:space="preserve">  Muebles y enseres</t>
  </si>
  <si>
    <t xml:space="preserve">      Equipos de comunicación</t>
  </si>
  <si>
    <r>
      <t xml:space="preserve">        </t>
    </r>
    <r>
      <rPr>
        <b/>
        <sz val="10"/>
        <rFont val="Arial"/>
        <family val="2"/>
      </rPr>
      <t xml:space="preserve">     Totales       S/.</t>
    </r>
  </si>
  <si>
    <t>Saldo inicial reflejo</t>
  </si>
  <si>
    <t>Compras reflejas</t>
  </si>
  <si>
    <r>
      <t>Diario de Contabilidad Analítica de Explotación  MERITORIO 4       (</t>
    </r>
    <r>
      <rPr>
        <i/>
        <sz val="7"/>
        <rFont val="Arial"/>
        <family val="2"/>
      </rPr>
      <t>Refinería Apache Corporation)</t>
    </r>
  </si>
  <si>
    <t>Costo de Producción</t>
  </si>
  <si>
    <t>Costos Conjuntos</t>
  </si>
  <si>
    <t>Base de Peso o Volumen</t>
  </si>
  <si>
    <t>Base Valor de Mercado</t>
  </si>
  <si>
    <t>Coeficiente de Distribución</t>
  </si>
  <si>
    <t>Base de Valor de Mercado</t>
  </si>
  <si>
    <t>Base Peso o Volumen</t>
  </si>
  <si>
    <t>TEMA: COSTOS CONJUNTOS EN LA INDUSTRIA PETROLERA</t>
  </si>
  <si>
    <t>PARA TRANSACCIONES EN MONEDA EXTRANJERA</t>
  </si>
  <si>
    <t xml:space="preserve">      Equipos para proc. de inform.</t>
  </si>
  <si>
    <t xml:space="preserve">Suscripciones </t>
  </si>
  <si>
    <t>MERITORIO Nº 4 del año 2012</t>
  </si>
  <si>
    <t>Suscripciones</t>
  </si>
  <si>
    <t>MERITORIO Nº 4 del año 2012 (Contabilidad Petrolera)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</si>
</sst>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3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sz val="6"/>
      <name val="Monotype Corsiva"/>
      <family val="4"/>
    </font>
    <font>
      <i/>
      <sz val="9"/>
      <name val="Arial"/>
      <family val="2"/>
    </font>
    <font>
      <b/>
      <sz val="4"/>
      <name val="Arial"/>
      <family val="2"/>
    </font>
    <font>
      <b/>
      <sz val="5"/>
      <name val="Arial"/>
      <family val="2"/>
    </font>
    <font>
      <i/>
      <sz val="6"/>
      <name val="Arial"/>
      <family val="2"/>
    </font>
    <font>
      <sz val="7"/>
      <name val="Arial"/>
      <family val="2"/>
    </font>
    <font>
      <i/>
      <sz val="5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u val="double"/>
      <sz val="10"/>
      <name val="Arial"/>
      <family val="2"/>
    </font>
    <font>
      <i/>
      <sz val="7"/>
      <name val="Arial"/>
      <family val="2"/>
    </font>
    <font>
      <sz val="5"/>
      <name val="Monotype Corsiva"/>
      <family val="4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sz val="8"/>
      <name val="Calibri"/>
      <family val="2"/>
      <scheme val="minor"/>
    </font>
    <font>
      <b/>
      <sz val="6"/>
      <color theme="1"/>
      <name val="Arial"/>
      <family val="2"/>
    </font>
    <font>
      <i/>
      <sz val="8"/>
      <name val="Arial Narrow"/>
      <family val="2"/>
    </font>
    <font>
      <b/>
      <i/>
      <sz val="7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1">
    <xf numFmtId="0" fontId="0" fillId="0" borderId="0" xfId="0"/>
    <xf numFmtId="0" fontId="0" fillId="0" borderId="1" xfId="0" applyBorder="1"/>
    <xf numFmtId="4" fontId="0" fillId="0" borderId="0" xfId="0" applyNumberFormat="1"/>
    <xf numFmtId="0" fontId="6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" fontId="0" fillId="0" borderId="1" xfId="0" applyNumberFormat="1" applyBorder="1"/>
    <xf numFmtId="0" fontId="2" fillId="0" borderId="0" xfId="0" applyFont="1"/>
    <xf numFmtId="0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Border="1" applyAlignment="1">
      <alignment horizontal="right"/>
    </xf>
    <xf numFmtId="4" fontId="8" fillId="0" borderId="0" xfId="0" applyNumberFormat="1" applyFont="1" applyBorder="1"/>
    <xf numFmtId="0" fontId="0" fillId="0" borderId="0" xfId="0" applyNumberFormat="1" applyBorder="1" applyAlignment="1"/>
    <xf numFmtId="4" fontId="2" fillId="0" borderId="0" xfId="0" applyNumberFormat="1" applyFont="1" applyFill="1" applyBorder="1" applyAlignment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/>
    <xf numFmtId="0" fontId="0" fillId="0" borderId="0" xfId="0" applyNumberFormat="1"/>
    <xf numFmtId="4" fontId="0" fillId="0" borderId="2" xfId="0" applyNumberFormat="1" applyBorder="1"/>
    <xf numFmtId="4" fontId="0" fillId="0" borderId="1" xfId="1" applyNumberFormat="1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4" fontId="0" fillId="0" borderId="5" xfId="0" applyNumberFormat="1" applyBorder="1"/>
    <xf numFmtId="0" fontId="0" fillId="0" borderId="5" xfId="0" applyFill="1" applyBorder="1"/>
    <xf numFmtId="4" fontId="0" fillId="0" borderId="5" xfId="0" applyNumberForma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Border="1" applyAlignment="1"/>
    <xf numFmtId="0" fontId="0" fillId="0" borderId="6" xfId="0" applyFill="1" applyBorder="1" applyAlignment="1"/>
    <xf numFmtId="0" fontId="0" fillId="0" borderId="0" xfId="0" applyAlignment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right"/>
    </xf>
    <xf numFmtId="4" fontId="3" fillId="0" borderId="5" xfId="0" applyNumberFormat="1" applyFont="1" applyFill="1" applyBorder="1"/>
    <xf numFmtId="0" fontId="10" fillId="0" borderId="0" xfId="0" applyFont="1"/>
    <xf numFmtId="4" fontId="0" fillId="0" borderId="5" xfId="0" applyNumberFormat="1" applyFill="1" applyBorder="1"/>
    <xf numFmtId="4" fontId="0" fillId="0" borderId="7" xfId="0" applyNumberFormat="1" applyBorder="1"/>
    <xf numFmtId="4" fontId="0" fillId="0" borderId="8" xfId="0" applyNumberFormat="1" applyBorder="1"/>
    <xf numFmtId="0" fontId="0" fillId="0" borderId="0" xfId="0" applyBorder="1" applyAlignment="1"/>
    <xf numFmtId="0" fontId="0" fillId="0" borderId="0" xfId="0" applyBorder="1"/>
    <xf numFmtId="4" fontId="0" fillId="0" borderId="9" xfId="0" applyNumberFormat="1" applyBorder="1"/>
    <xf numFmtId="4" fontId="0" fillId="0" borderId="10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1" xfId="0" applyBorder="1" applyAlignment="1"/>
    <xf numFmtId="0" fontId="0" fillId="0" borderId="12" xfId="0" applyBorder="1"/>
    <xf numFmtId="0" fontId="11" fillId="0" borderId="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9" fillId="0" borderId="3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0" fillId="0" borderId="0" xfId="0" applyNumberFormat="1" applyBorder="1"/>
    <xf numFmtId="0" fontId="14" fillId="0" borderId="2" xfId="0" applyFont="1" applyBorder="1"/>
    <xf numFmtId="3" fontId="0" fillId="0" borderId="3" xfId="0" applyNumberFormat="1" applyBorder="1"/>
    <xf numFmtId="0" fontId="2" fillId="0" borderId="3" xfId="0" applyFont="1" applyBorder="1"/>
    <xf numFmtId="0" fontId="15" fillId="0" borderId="0" xfId="0" applyFont="1"/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/>
    <xf numFmtId="0" fontId="9" fillId="0" borderId="16" xfId="0" applyFont="1" applyBorder="1" applyAlignment="1">
      <alignment horizontal="center"/>
    </xf>
    <xf numFmtId="0" fontId="14" fillId="0" borderId="3" xfId="0" applyFont="1" applyBorder="1"/>
    <xf numFmtId="0" fontId="16" fillId="0" borderId="3" xfId="0" applyFont="1" applyBorder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2" fillId="0" borderId="0" xfId="0" applyFont="1" applyBorder="1"/>
    <xf numFmtId="4" fontId="14" fillId="0" borderId="1" xfId="0" applyNumberFormat="1" applyFont="1" applyFill="1" applyBorder="1"/>
    <xf numFmtId="4" fontId="14" fillId="0" borderId="2" xfId="0" applyNumberFormat="1" applyFont="1" applyFill="1" applyBorder="1"/>
    <xf numFmtId="4" fontId="0" fillId="0" borderId="5" xfId="0" applyNumberFormat="1" applyFill="1" applyBorder="1" applyAlignment="1">
      <alignment horizontal="right"/>
    </xf>
    <xf numFmtId="4" fontId="14" fillId="0" borderId="0" xfId="0" applyNumberFormat="1" applyFont="1" applyFill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0" fontId="14" fillId="0" borderId="1" xfId="0" applyFont="1" applyBorder="1"/>
    <xf numFmtId="0" fontId="4" fillId="0" borderId="1" xfId="0" applyFont="1" applyBorder="1"/>
    <xf numFmtId="4" fontId="14" fillId="0" borderId="2" xfId="0" applyNumberFormat="1" applyFont="1" applyFill="1" applyBorder="1" applyAlignment="1">
      <alignment horizontal="right"/>
    </xf>
    <xf numFmtId="4" fontId="14" fillId="0" borderId="4" xfId="0" applyNumberFormat="1" applyFont="1" applyFill="1" applyBorder="1"/>
    <xf numFmtId="4" fontId="4" fillId="0" borderId="17" xfId="0" applyNumberFormat="1" applyFont="1" applyFill="1" applyBorder="1" applyAlignment="1">
      <alignment horizontal="right"/>
    </xf>
    <xf numFmtId="4" fontId="14" fillId="0" borderId="4" xfId="0" applyNumberFormat="1" applyFont="1" applyBorder="1"/>
    <xf numFmtId="4" fontId="14" fillId="0" borderId="1" xfId="0" applyNumberFormat="1" applyFont="1" applyBorder="1"/>
    <xf numFmtId="3" fontId="14" fillId="0" borderId="1" xfId="0" applyNumberFormat="1" applyFont="1" applyBorder="1"/>
    <xf numFmtId="4" fontId="14" fillId="0" borderId="1" xfId="2" applyNumberFormat="1" applyFont="1" applyFill="1" applyBorder="1"/>
    <xf numFmtId="0" fontId="14" fillId="0" borderId="0" xfId="0" applyFont="1"/>
    <xf numFmtId="4" fontId="14" fillId="0" borderId="2" xfId="0" applyNumberFormat="1" applyFont="1" applyBorder="1"/>
    <xf numFmtId="4" fontId="4" fillId="0" borderId="3" xfId="0" applyNumberFormat="1" applyFont="1" applyFill="1" applyBorder="1"/>
    <xf numFmtId="4" fontId="2" fillId="0" borderId="1" xfId="0" applyNumberFormat="1" applyFont="1" applyFill="1" applyBorder="1"/>
    <xf numFmtId="4" fontId="20" fillId="0" borderId="1" xfId="0" applyNumberFormat="1" applyFont="1" applyFill="1" applyBorder="1"/>
    <xf numFmtId="4" fontId="20" fillId="0" borderId="2" xfId="0" applyNumberFormat="1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9" fillId="0" borderId="4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4" fontId="14" fillId="0" borderId="12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" fontId="33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" fontId="0" fillId="0" borderId="1" xfId="0" applyNumberForma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5" xfId="0" applyFont="1" applyBorder="1"/>
    <xf numFmtId="4" fontId="3" fillId="0" borderId="1" xfId="1" applyNumberFormat="1" applyFont="1" applyBorder="1"/>
    <xf numFmtId="0" fontId="0" fillId="0" borderId="19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0" fillId="0" borderId="4" xfId="0" applyNumberFormat="1" applyFont="1" applyFill="1" applyBorder="1"/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/>
    <xf numFmtId="4" fontId="3" fillId="0" borderId="0" xfId="0" applyNumberFormat="1" applyFont="1" applyFill="1" applyBorder="1" applyAlignment="1"/>
    <xf numFmtId="4" fontId="0" fillId="0" borderId="3" xfId="0" applyNumberFormat="1" applyBorder="1"/>
    <xf numFmtId="4" fontId="0" fillId="0" borderId="19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4" fontId="5" fillId="0" borderId="13" xfId="0" applyNumberFormat="1" applyFont="1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3" xfId="0" applyFont="1" applyFill="1" applyBorder="1"/>
    <xf numFmtId="4" fontId="5" fillId="0" borderId="5" xfId="0" applyNumberFormat="1" applyFont="1" applyBorder="1"/>
    <xf numFmtId="0" fontId="5" fillId="0" borderId="1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/>
    <xf numFmtId="0" fontId="0" fillId="0" borderId="19" xfId="0" applyBorder="1" applyAlignment="1"/>
    <xf numFmtId="0" fontId="0" fillId="0" borderId="20" xfId="0" applyBorder="1" applyAlignment="1"/>
    <xf numFmtId="4" fontId="0" fillId="0" borderId="4" xfId="0" applyNumberFormat="1" applyBorder="1"/>
    <xf numFmtId="0" fontId="5" fillId="0" borderId="12" xfId="0" applyFont="1" applyBorder="1"/>
    <xf numFmtId="0" fontId="0" fillId="0" borderId="14" xfId="0" applyFill="1" applyBorder="1"/>
    <xf numFmtId="4" fontId="5" fillId="0" borderId="0" xfId="0" applyNumberFormat="1" applyFont="1" applyFill="1" applyBorder="1"/>
    <xf numFmtId="4" fontId="5" fillId="0" borderId="19" xfId="0" applyNumberFormat="1" applyFont="1" applyFill="1" applyBorder="1"/>
    <xf numFmtId="0" fontId="0" fillId="0" borderId="0" xfId="0" applyBorder="1" applyAlignment="1">
      <alignment horizontal="left"/>
    </xf>
    <xf numFmtId="0" fontId="0" fillId="0" borderId="19" xfId="0" applyBorder="1"/>
    <xf numFmtId="0" fontId="0" fillId="0" borderId="6" xfId="0" applyBorder="1"/>
    <xf numFmtId="0" fontId="0" fillId="0" borderId="12" xfId="0" applyBorder="1" applyAlignment="1">
      <alignment horizontal="center"/>
    </xf>
    <xf numFmtId="0" fontId="0" fillId="0" borderId="18" xfId="0" applyFill="1" applyBorder="1"/>
    <xf numFmtId="4" fontId="14" fillId="0" borderId="5" xfId="0" applyNumberFormat="1" applyFont="1" applyBorder="1"/>
    <xf numFmtId="4" fontId="4" fillId="0" borderId="1" xfId="0" applyNumberFormat="1" applyFont="1" applyBorder="1"/>
    <xf numFmtId="4" fontId="22" fillId="0" borderId="0" xfId="0" applyNumberFormat="1" applyFont="1" applyFill="1" applyAlignment="1">
      <alignment horizontal="right"/>
    </xf>
    <xf numFmtId="4" fontId="22" fillId="0" borderId="1" xfId="0" applyNumberFormat="1" applyFont="1" applyFill="1" applyBorder="1"/>
    <xf numFmtId="4" fontId="20" fillId="0" borderId="2" xfId="0" applyNumberFormat="1" applyFont="1" applyFill="1" applyBorder="1" applyAlignment="1">
      <alignment horizontal="right"/>
    </xf>
    <xf numFmtId="4" fontId="20" fillId="0" borderId="1" xfId="0" applyNumberFormat="1" applyFont="1" applyBorder="1"/>
    <xf numFmtId="4" fontId="20" fillId="0" borderId="5" xfId="0" applyNumberFormat="1" applyFont="1" applyBorder="1"/>
    <xf numFmtId="4" fontId="11" fillId="0" borderId="1" xfId="0" applyNumberFormat="1" applyFont="1" applyFill="1" applyBorder="1"/>
    <xf numFmtId="4" fontId="18" fillId="0" borderId="17" xfId="0" applyNumberFormat="1" applyFont="1" applyFill="1" applyBorder="1" applyAlignment="1">
      <alignment horizontal="right"/>
    </xf>
    <xf numFmtId="4" fontId="23" fillId="2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/>
    <xf numFmtId="4" fontId="2" fillId="0" borderId="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9" fontId="23" fillId="2" borderId="1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>
      <alignment horizontal="left" vertical="center"/>
    </xf>
    <xf numFmtId="4" fontId="5" fillId="0" borderId="1" xfId="0" applyNumberFormat="1" applyFont="1" applyBorder="1"/>
    <xf numFmtId="4" fontId="5" fillId="0" borderId="19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/>
    <xf numFmtId="4" fontId="5" fillId="0" borderId="5" xfId="0" applyNumberFormat="1" applyFont="1" applyFill="1" applyBorder="1"/>
    <xf numFmtId="4" fontId="5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0" fillId="0" borderId="15" xfId="0" applyFill="1" applyBorder="1"/>
    <xf numFmtId="4" fontId="0" fillId="0" borderId="1" xfId="0" applyNumberFormat="1" applyBorder="1" applyAlignment="1"/>
    <xf numFmtId="4" fontId="0" fillId="0" borderId="2" xfId="0" applyNumberFormat="1" applyBorder="1" applyAlignment="1"/>
    <xf numFmtId="4" fontId="0" fillId="0" borderId="3" xfId="0" applyNumberFormat="1" applyBorder="1" applyAlignment="1"/>
    <xf numFmtId="4" fontId="0" fillId="0" borderId="4" xfId="0" applyNumberFormat="1" applyBorder="1" applyAlignment="1"/>
    <xf numFmtId="0" fontId="5" fillId="0" borderId="19" xfId="0" applyFont="1" applyBorder="1" applyAlignment="1"/>
    <xf numFmtId="0" fontId="5" fillId="0" borderId="0" xfId="0" applyFont="1" applyBorder="1" applyAlignment="1"/>
    <xf numFmtId="0" fontId="5" fillId="0" borderId="13" xfId="0" applyFont="1" applyBorder="1" applyAlignment="1"/>
    <xf numFmtId="4" fontId="24" fillId="0" borderId="8" xfId="0" applyNumberFormat="1" applyFont="1" applyBorder="1"/>
    <xf numFmtId="4" fontId="24" fillId="0" borderId="0" xfId="0" applyNumberFormat="1" applyFont="1" applyBorder="1"/>
    <xf numFmtId="0" fontId="5" fillId="0" borderId="5" xfId="0" applyFont="1" applyBorder="1" applyAlignment="1">
      <alignment horizontal="center"/>
    </xf>
    <xf numFmtId="0" fontId="20" fillId="0" borderId="1" xfId="0" applyFont="1" applyBorder="1"/>
    <xf numFmtId="0" fontId="20" fillId="0" borderId="6" xfId="0" applyFont="1" applyBorder="1" applyAlignment="1"/>
    <xf numFmtId="0" fontId="20" fillId="0" borderId="5" xfId="0" applyFont="1" applyBorder="1" applyAlignment="1">
      <alignment horizontal="center"/>
    </xf>
    <xf numFmtId="0" fontId="20" fillId="0" borderId="5" xfId="0" applyFont="1" applyBorder="1"/>
    <xf numFmtId="0" fontId="20" fillId="0" borderId="12" xfId="0" applyFont="1" applyBorder="1"/>
    <xf numFmtId="4" fontId="20" fillId="0" borderId="2" xfId="0" applyNumberFormat="1" applyFont="1" applyBorder="1"/>
    <xf numFmtId="4" fontId="20" fillId="0" borderId="19" xfId="0" applyNumberFormat="1" applyFont="1" applyFill="1" applyBorder="1"/>
    <xf numFmtId="0" fontId="20" fillId="0" borderId="11" xfId="0" applyFont="1" applyBorder="1" applyAlignment="1"/>
    <xf numFmtId="4" fontId="20" fillId="0" borderId="0" xfId="0" applyNumberFormat="1" applyFont="1" applyFill="1" applyBorder="1"/>
    <xf numFmtId="4" fontId="20" fillId="0" borderId="3" xfId="0" applyNumberFormat="1" applyFont="1" applyBorder="1"/>
    <xf numFmtId="0" fontId="20" fillId="0" borderId="20" xfId="0" applyFont="1" applyBorder="1" applyAlignment="1"/>
    <xf numFmtId="0" fontId="20" fillId="0" borderId="5" xfId="0" applyFont="1" applyFill="1" applyBorder="1"/>
    <xf numFmtId="4" fontId="20" fillId="0" borderId="5" xfId="0" applyNumberFormat="1" applyFont="1" applyFill="1" applyBorder="1" applyAlignment="1">
      <alignment horizontal="left"/>
    </xf>
    <xf numFmtId="0" fontId="20" fillId="0" borderId="6" xfId="0" applyFont="1" applyFill="1" applyBorder="1" applyAlignment="1"/>
    <xf numFmtId="0" fontId="20" fillId="0" borderId="5" xfId="0" applyFont="1" applyFill="1" applyBorder="1" applyAlignment="1">
      <alignment horizontal="left"/>
    </xf>
    <xf numFmtId="0" fontId="20" fillId="0" borderId="6" xfId="0" applyFont="1" applyBorder="1" applyAlignment="1">
      <alignment horizontal="right"/>
    </xf>
    <xf numFmtId="0" fontId="20" fillId="0" borderId="19" xfId="0" applyFont="1" applyBorder="1" applyAlignment="1">
      <alignment horizontal="left"/>
    </xf>
    <xf numFmtId="4" fontId="20" fillId="0" borderId="19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left"/>
    </xf>
    <xf numFmtId="4" fontId="20" fillId="0" borderId="0" xfId="0" applyNumberFormat="1" applyFont="1" applyBorder="1"/>
    <xf numFmtId="4" fontId="20" fillId="0" borderId="13" xfId="0" applyNumberFormat="1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3" xfId="0" applyFont="1" applyFill="1" applyBorder="1"/>
    <xf numFmtId="4" fontId="20" fillId="0" borderId="5" xfId="0" applyNumberFormat="1" applyFont="1" applyFill="1" applyBorder="1"/>
    <xf numFmtId="0" fontId="20" fillId="0" borderId="16" xfId="0" applyFont="1" applyBorder="1" applyAlignment="1">
      <alignment horizontal="right"/>
    </xf>
    <xf numFmtId="4" fontId="20" fillId="0" borderId="14" xfId="0" applyNumberFormat="1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6" xfId="0" applyFont="1" applyBorder="1"/>
    <xf numFmtId="0" fontId="20" fillId="0" borderId="19" xfId="0" applyFont="1" applyBorder="1"/>
    <xf numFmtId="0" fontId="20" fillId="0" borderId="18" xfId="0" applyFont="1" applyFill="1" applyBorder="1"/>
    <xf numFmtId="0" fontId="20" fillId="0" borderId="16" xfId="0" applyFont="1" applyBorder="1" applyAlignment="1"/>
    <xf numFmtId="0" fontId="20" fillId="0" borderId="14" xfId="0" applyFont="1" applyFill="1" applyBorder="1"/>
    <xf numFmtId="0" fontId="20" fillId="0" borderId="15" xfId="0" applyFont="1" applyFill="1" applyBorder="1"/>
    <xf numFmtId="0" fontId="20" fillId="0" borderId="19" xfId="0" applyFont="1" applyBorder="1" applyAlignment="1"/>
    <xf numFmtId="4" fontId="20" fillId="0" borderId="1" xfId="0" applyNumberFormat="1" applyFont="1" applyBorder="1" applyAlignment="1"/>
    <xf numFmtId="0" fontId="20" fillId="0" borderId="0" xfId="0" applyFont="1" applyBorder="1" applyAlignment="1"/>
    <xf numFmtId="4" fontId="20" fillId="0" borderId="2" xfId="0" applyNumberFormat="1" applyFont="1" applyBorder="1" applyAlignment="1"/>
    <xf numFmtId="4" fontId="20" fillId="0" borderId="3" xfId="0" applyNumberFormat="1" applyFont="1" applyBorder="1" applyAlignment="1"/>
    <xf numFmtId="4" fontId="20" fillId="0" borderId="4" xfId="0" applyNumberFormat="1" applyFont="1" applyBorder="1" applyAlignment="1"/>
    <xf numFmtId="0" fontId="20" fillId="0" borderId="13" xfId="0" applyFont="1" applyBorder="1" applyAlignment="1"/>
    <xf numFmtId="0" fontId="20" fillId="0" borderId="14" xfId="0" applyFont="1" applyBorder="1" applyAlignment="1">
      <alignment horizontal="center"/>
    </xf>
    <xf numFmtId="4" fontId="20" fillId="0" borderId="4" xfId="0" applyNumberFormat="1" applyFont="1" applyBorder="1"/>
    <xf numFmtId="0" fontId="20" fillId="0" borderId="5" xfId="0" applyFont="1" applyBorder="1" applyAlignment="1">
      <alignment horizontal="left"/>
    </xf>
    <xf numFmtId="4" fontId="20" fillId="0" borderId="1" xfId="1" applyNumberFormat="1" applyFont="1" applyBorder="1"/>
    <xf numFmtId="0" fontId="20" fillId="0" borderId="2" xfId="0" applyFont="1" applyBorder="1"/>
    <xf numFmtId="0" fontId="20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/>
    <xf numFmtId="0" fontId="5" fillId="0" borderId="0" xfId="0" applyFont="1"/>
    <xf numFmtId="4" fontId="26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22" fillId="0" borderId="0" xfId="0" applyNumberFormat="1" applyFont="1"/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4" fillId="0" borderId="2" xfId="0" applyFont="1" applyBorder="1" applyAlignment="1">
      <alignment horizontal="center" vertical="center" textRotation="255"/>
    </xf>
    <xf numFmtId="0" fontId="34" fillId="0" borderId="3" xfId="0" applyFont="1" applyBorder="1" applyAlignment="1">
      <alignment horizontal="center" vertical="center" textRotation="255"/>
    </xf>
    <xf numFmtId="0" fontId="34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4" fontId="20" fillId="0" borderId="0" xfId="0" applyNumberFormat="1" applyFont="1" applyAlignment="1">
      <alignment horizontal="right"/>
    </xf>
    <xf numFmtId="4" fontId="36" fillId="0" borderId="1" xfId="0" applyNumberFormat="1" applyFont="1" applyBorder="1"/>
    <xf numFmtId="0" fontId="36" fillId="0" borderId="1" xfId="0" applyFont="1" applyBorder="1"/>
    <xf numFmtId="4" fontId="37" fillId="0" borderId="1" xfId="0" applyNumberFormat="1" applyFont="1" applyFill="1" applyBorder="1"/>
    <xf numFmtId="4" fontId="37" fillId="0" borderId="1" xfId="0" applyNumberFormat="1" applyFont="1" applyBorder="1"/>
    <xf numFmtId="4" fontId="37" fillId="0" borderId="1" xfId="0" applyNumberFormat="1" applyFont="1" applyFill="1" applyBorder="1" applyAlignment="1">
      <alignment horizontal="right"/>
    </xf>
    <xf numFmtId="4" fontId="36" fillId="0" borderId="1" xfId="0" applyNumberFormat="1" applyFont="1" applyFill="1" applyBorder="1" applyAlignment="1">
      <alignment horizontal="right"/>
    </xf>
  </cellXfs>
  <cellStyles count="3">
    <cellStyle name="Millares" xfId="1" builtinId="3"/>
    <cellStyle name="Millares_Formato de costos de mineria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1">
  <dgm:title val=""/>
  <dgm:desc val=""/>
  <dgm:catLst>
    <dgm:cat type="accent1" pri="11100"/>
  </dgm:catLst>
  <dgm:styleLbl name="node0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1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1">
        <a:alpha val="4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98CC36E-D1E4-47A9-B15A-74A1CF28F84C}" type="doc">
      <dgm:prSet loTypeId="urn:microsoft.com/office/officeart/2005/8/layout/orgChart1" loCatId="hierarchy" qsTypeId="urn:microsoft.com/office/officeart/2005/8/quickstyle/simple1" qsCatId="simple" csTypeId="urn:microsoft.com/office/officeart/2005/8/colors/accent1_1" csCatId="accent1" phldr="1"/>
      <dgm:spPr/>
      <dgm:t>
        <a:bodyPr/>
        <a:lstStyle/>
        <a:p>
          <a:endParaRPr lang="es-ES_tradnl"/>
        </a:p>
      </dgm:t>
    </dgm:pt>
    <dgm:pt modelId="{FDEC69F6-C3D8-4E69-947B-0C5B7E8B7A04}">
      <dgm:prSet phldrT="[Texto]"/>
      <dgm:spPr/>
      <dgm:t>
        <a:bodyPr/>
        <a:lstStyle/>
        <a:p>
          <a:r>
            <a:rPr lang="es-ES_tradnl"/>
            <a:t>JGA</a:t>
          </a:r>
        </a:p>
      </dgm:t>
    </dgm:pt>
    <dgm:pt modelId="{56081D8D-D64F-467A-8DC0-184C00BB24FA}" type="parTrans" cxnId="{88E10A88-254B-4C60-804E-EE16A1141D38}">
      <dgm:prSet/>
      <dgm:spPr/>
      <dgm:t>
        <a:bodyPr/>
        <a:lstStyle/>
        <a:p>
          <a:endParaRPr lang="es-ES_tradnl"/>
        </a:p>
      </dgm:t>
    </dgm:pt>
    <dgm:pt modelId="{D0FF47D7-E4C6-4E45-B35E-46680264731C}" type="sibTrans" cxnId="{88E10A88-254B-4C60-804E-EE16A1141D38}">
      <dgm:prSet/>
      <dgm:spPr/>
      <dgm:t>
        <a:bodyPr/>
        <a:lstStyle/>
        <a:p>
          <a:endParaRPr lang="es-ES_tradnl"/>
        </a:p>
      </dgm:t>
    </dgm:pt>
    <dgm:pt modelId="{5BCA529F-93C9-4569-BF71-845356CDD3F7}">
      <dgm:prSet phldrT="[Texto]"/>
      <dgm:spPr/>
      <dgm:t>
        <a:bodyPr/>
        <a:lstStyle/>
        <a:p>
          <a:r>
            <a:rPr lang="es-ES_tradnl"/>
            <a:t>Directorio</a:t>
          </a:r>
        </a:p>
      </dgm:t>
    </dgm:pt>
    <dgm:pt modelId="{41236E9A-073F-4D23-A5F4-DF190BF89B9A}" type="parTrans" cxnId="{5AF84A83-F53F-4F27-9B0F-162F9CD421B0}">
      <dgm:prSet/>
      <dgm:spPr/>
      <dgm:t>
        <a:bodyPr/>
        <a:lstStyle/>
        <a:p>
          <a:endParaRPr lang="es-ES_tradnl"/>
        </a:p>
      </dgm:t>
    </dgm:pt>
    <dgm:pt modelId="{216BEE21-2A5D-4AAA-BC5C-C46A619C8FCE}" type="sibTrans" cxnId="{5AF84A83-F53F-4F27-9B0F-162F9CD421B0}">
      <dgm:prSet/>
      <dgm:spPr/>
      <dgm:t>
        <a:bodyPr/>
        <a:lstStyle/>
        <a:p>
          <a:endParaRPr lang="es-ES_tradnl"/>
        </a:p>
      </dgm:t>
    </dgm:pt>
    <dgm:pt modelId="{75DCB31F-7D81-4FC5-8051-FBA8D77E480F}">
      <dgm:prSet phldrT="[Texto]"/>
      <dgm:spPr/>
      <dgm:t>
        <a:bodyPr/>
        <a:lstStyle/>
        <a:p>
          <a:r>
            <a:rPr lang="es-ES_tradnl"/>
            <a:t>Gerencia</a:t>
          </a:r>
        </a:p>
      </dgm:t>
    </dgm:pt>
    <dgm:pt modelId="{F8CA2F3E-C76E-498D-9A96-F58810A35481}" type="parTrans" cxnId="{26CA12CA-5FBB-454B-917D-2CCB550EF45B}">
      <dgm:prSet/>
      <dgm:spPr/>
      <dgm:t>
        <a:bodyPr/>
        <a:lstStyle/>
        <a:p>
          <a:endParaRPr lang="es-ES_tradnl"/>
        </a:p>
      </dgm:t>
    </dgm:pt>
    <dgm:pt modelId="{56A4641B-4A1E-4352-9C51-C4C225BC2A9E}" type="sibTrans" cxnId="{26CA12CA-5FBB-454B-917D-2CCB550EF45B}">
      <dgm:prSet/>
      <dgm:spPr/>
      <dgm:t>
        <a:bodyPr/>
        <a:lstStyle/>
        <a:p>
          <a:endParaRPr lang="es-ES_tradnl"/>
        </a:p>
      </dgm:t>
    </dgm:pt>
    <dgm:pt modelId="{C4C09CC5-7992-4F84-BDB1-439509EF7C10}" type="asst">
      <dgm:prSet/>
      <dgm:spPr/>
      <dgm:t>
        <a:bodyPr/>
        <a:lstStyle/>
        <a:p>
          <a:r>
            <a:rPr lang="es-ES_tradnl"/>
            <a:t>Gerencia de Administración</a:t>
          </a:r>
        </a:p>
      </dgm:t>
    </dgm:pt>
    <dgm:pt modelId="{E74559DE-5C4A-489D-9C17-2A5C3524EA27}" type="parTrans" cxnId="{61B22140-93E2-4AFC-8BAE-359BE095B062}">
      <dgm:prSet/>
      <dgm:spPr/>
      <dgm:t>
        <a:bodyPr/>
        <a:lstStyle/>
        <a:p>
          <a:endParaRPr lang="es-ES_tradnl"/>
        </a:p>
      </dgm:t>
    </dgm:pt>
    <dgm:pt modelId="{C24BE910-0F1C-4BE0-9CAD-C04864E3FD04}" type="sibTrans" cxnId="{61B22140-93E2-4AFC-8BAE-359BE095B062}">
      <dgm:prSet/>
      <dgm:spPr/>
      <dgm:t>
        <a:bodyPr/>
        <a:lstStyle/>
        <a:p>
          <a:endParaRPr lang="es-ES_tradnl"/>
        </a:p>
      </dgm:t>
    </dgm:pt>
    <dgm:pt modelId="{0161ED3D-CF23-436B-807A-05A0D38F5EA7}" type="asst">
      <dgm:prSet/>
      <dgm:spPr/>
      <dgm:t>
        <a:bodyPr/>
        <a:lstStyle/>
        <a:p>
          <a:r>
            <a:rPr lang="es-ES_tradnl"/>
            <a:t>Gerencia de Operaciones</a:t>
          </a:r>
        </a:p>
      </dgm:t>
    </dgm:pt>
    <dgm:pt modelId="{50F7370B-755E-4E99-8BD2-9BC074C05D3E}" type="parTrans" cxnId="{60E12D11-8936-498E-9C90-3A9E0A457F46}">
      <dgm:prSet/>
      <dgm:spPr/>
      <dgm:t>
        <a:bodyPr/>
        <a:lstStyle/>
        <a:p>
          <a:endParaRPr lang="es-ES_tradnl"/>
        </a:p>
      </dgm:t>
    </dgm:pt>
    <dgm:pt modelId="{4904FE7D-833B-49A3-A723-E8EF7F02788B}" type="sibTrans" cxnId="{60E12D11-8936-498E-9C90-3A9E0A457F46}">
      <dgm:prSet/>
      <dgm:spPr/>
      <dgm:t>
        <a:bodyPr/>
        <a:lstStyle/>
        <a:p>
          <a:endParaRPr lang="es-ES_tradnl"/>
        </a:p>
      </dgm:t>
    </dgm:pt>
    <dgm:pt modelId="{FBD6FEBC-257C-4422-9B87-4CC5E7D6DB4F}">
      <dgm:prSet/>
      <dgm:spPr/>
      <dgm:t>
        <a:bodyPr/>
        <a:lstStyle/>
        <a:p>
          <a:r>
            <a:rPr lang="es-ES_tradnl"/>
            <a:t>Unidad de Destilación Primaria</a:t>
          </a:r>
        </a:p>
      </dgm:t>
    </dgm:pt>
    <dgm:pt modelId="{B353A672-CACE-450E-88A8-D855E82DD4B1}" type="parTrans" cxnId="{D86F0A73-D15F-4E4B-A24D-21DE706B8D44}">
      <dgm:prSet/>
      <dgm:spPr/>
      <dgm:t>
        <a:bodyPr/>
        <a:lstStyle/>
        <a:p>
          <a:endParaRPr lang="es-ES_tradnl"/>
        </a:p>
      </dgm:t>
    </dgm:pt>
    <dgm:pt modelId="{A07619AE-FF7F-4846-96D4-DA787605477C}" type="sibTrans" cxnId="{D86F0A73-D15F-4E4B-A24D-21DE706B8D44}">
      <dgm:prSet/>
      <dgm:spPr/>
      <dgm:t>
        <a:bodyPr/>
        <a:lstStyle/>
        <a:p>
          <a:endParaRPr lang="es-ES_tradnl"/>
        </a:p>
      </dgm:t>
    </dgm:pt>
    <dgm:pt modelId="{00E2CBC2-1AF8-4911-86DD-0AF3115DE389}">
      <dgm:prSet/>
      <dgm:spPr/>
      <dgm:t>
        <a:bodyPr/>
        <a:lstStyle/>
        <a:p>
          <a:r>
            <a:rPr lang="es-ES_tradnl"/>
            <a:t>Unidad de Destilación al Vacío</a:t>
          </a:r>
        </a:p>
      </dgm:t>
    </dgm:pt>
    <dgm:pt modelId="{8C86214E-014E-480A-BBBC-6F5E2B2BEE38}" type="parTrans" cxnId="{1CAA822A-52B5-40A7-BEFC-E10C61D040EB}">
      <dgm:prSet/>
      <dgm:spPr/>
      <dgm:t>
        <a:bodyPr/>
        <a:lstStyle/>
        <a:p>
          <a:endParaRPr lang="es-ES_tradnl"/>
        </a:p>
      </dgm:t>
    </dgm:pt>
    <dgm:pt modelId="{C68DD817-2682-4FF2-BF4B-4C71D946F84E}" type="sibTrans" cxnId="{1CAA822A-52B5-40A7-BEFC-E10C61D040EB}">
      <dgm:prSet/>
      <dgm:spPr/>
      <dgm:t>
        <a:bodyPr/>
        <a:lstStyle/>
        <a:p>
          <a:endParaRPr lang="es-ES_tradnl"/>
        </a:p>
      </dgm:t>
    </dgm:pt>
    <dgm:pt modelId="{B6D41BAF-67E0-4826-B15C-D59789B3F5CE}">
      <dgm:prSet/>
      <dgm:spPr/>
      <dgm:t>
        <a:bodyPr/>
        <a:lstStyle/>
        <a:p>
          <a:r>
            <a:rPr lang="es-ES_tradnl"/>
            <a:t>Unidad de Craqueo Catalítico</a:t>
          </a:r>
        </a:p>
      </dgm:t>
    </dgm:pt>
    <dgm:pt modelId="{FD586DC0-9A34-490B-88FA-55961861CA48}" type="parTrans" cxnId="{7B81383F-D6A2-4E51-B405-2026C7BDA722}">
      <dgm:prSet/>
      <dgm:spPr/>
      <dgm:t>
        <a:bodyPr/>
        <a:lstStyle/>
        <a:p>
          <a:endParaRPr lang="es-ES_tradnl"/>
        </a:p>
      </dgm:t>
    </dgm:pt>
    <dgm:pt modelId="{4889BD7C-FC0B-49FA-A507-B70470F4433C}" type="sibTrans" cxnId="{7B81383F-D6A2-4E51-B405-2026C7BDA722}">
      <dgm:prSet/>
      <dgm:spPr/>
      <dgm:t>
        <a:bodyPr/>
        <a:lstStyle/>
        <a:p>
          <a:endParaRPr lang="es-ES_tradnl"/>
        </a:p>
      </dgm:t>
    </dgm:pt>
    <dgm:pt modelId="{A92DD7D3-42F5-4A83-9CCD-FDD86C74842F}">
      <dgm:prSet/>
      <dgm:spPr/>
      <dgm:t>
        <a:bodyPr/>
        <a:lstStyle/>
        <a:p>
          <a:r>
            <a:rPr lang="es-ES_tradnl"/>
            <a:t>Tanques de Almacenamiento</a:t>
          </a:r>
        </a:p>
      </dgm:t>
    </dgm:pt>
    <dgm:pt modelId="{4511A9DD-6810-43FA-8EC4-C65589027D44}" type="parTrans" cxnId="{E51B5A8B-E564-4924-A635-350B5D586168}">
      <dgm:prSet/>
      <dgm:spPr/>
      <dgm:t>
        <a:bodyPr/>
        <a:lstStyle/>
        <a:p>
          <a:endParaRPr lang="es-ES_tradnl"/>
        </a:p>
      </dgm:t>
    </dgm:pt>
    <dgm:pt modelId="{04A45871-4844-48F7-945D-9C72FDCF9480}" type="sibTrans" cxnId="{E51B5A8B-E564-4924-A635-350B5D586168}">
      <dgm:prSet/>
      <dgm:spPr/>
      <dgm:t>
        <a:bodyPr/>
        <a:lstStyle/>
        <a:p>
          <a:endParaRPr lang="es-ES_tradnl"/>
        </a:p>
      </dgm:t>
    </dgm:pt>
    <dgm:pt modelId="{146A2BB3-1FB5-484C-A237-A341A3CCF0B5}">
      <dgm:prSet/>
      <dgm:spPr/>
      <dgm:t>
        <a:bodyPr/>
        <a:lstStyle/>
        <a:p>
          <a:r>
            <a:rPr lang="es-ES_tradnl"/>
            <a:t>Planta de Servicios Industriales</a:t>
          </a:r>
        </a:p>
      </dgm:t>
    </dgm:pt>
    <dgm:pt modelId="{55DB263B-2931-40ED-87BE-711767DBCAFE}" type="parTrans" cxnId="{FA3BD706-EBE0-455D-8FB8-FB74B2D52D28}">
      <dgm:prSet/>
      <dgm:spPr/>
      <dgm:t>
        <a:bodyPr/>
        <a:lstStyle/>
        <a:p>
          <a:endParaRPr lang="es-ES_tradnl"/>
        </a:p>
      </dgm:t>
    </dgm:pt>
    <dgm:pt modelId="{7F87DFCA-2B19-473D-AA6C-5658CE3B7781}" type="sibTrans" cxnId="{FA3BD706-EBE0-455D-8FB8-FB74B2D52D28}">
      <dgm:prSet/>
      <dgm:spPr/>
      <dgm:t>
        <a:bodyPr/>
        <a:lstStyle/>
        <a:p>
          <a:endParaRPr lang="es-ES_tradnl"/>
        </a:p>
      </dgm:t>
    </dgm:pt>
    <dgm:pt modelId="{1C6A7EAC-27CE-4763-ACA5-538B80CB8A65}">
      <dgm:prSet/>
      <dgm:spPr/>
      <dgm:t>
        <a:bodyPr/>
        <a:lstStyle/>
        <a:p>
          <a:r>
            <a:rPr lang="es-ES_tradnl"/>
            <a:t>Talleres de Maq. y Herramientas de Ingº de Mantenimiento</a:t>
          </a:r>
        </a:p>
      </dgm:t>
    </dgm:pt>
    <dgm:pt modelId="{EAC5D0B0-D7F8-4808-BD66-5AC21EE6EBCC}" type="parTrans" cxnId="{733B9033-C0D3-4A31-A7AD-2B363D87F9EF}">
      <dgm:prSet/>
      <dgm:spPr/>
      <dgm:t>
        <a:bodyPr/>
        <a:lstStyle/>
        <a:p>
          <a:endParaRPr lang="es-ES_tradnl"/>
        </a:p>
      </dgm:t>
    </dgm:pt>
    <dgm:pt modelId="{CFE6EBC1-A8B3-4C81-8C1D-AC4099EDC53F}" type="sibTrans" cxnId="{733B9033-C0D3-4A31-A7AD-2B363D87F9EF}">
      <dgm:prSet/>
      <dgm:spPr/>
      <dgm:t>
        <a:bodyPr/>
        <a:lstStyle/>
        <a:p>
          <a:endParaRPr lang="es-ES_tradnl"/>
        </a:p>
      </dgm:t>
    </dgm:pt>
    <dgm:pt modelId="{5CE7AC3B-4298-4979-8C6B-7731F966ED16}">
      <dgm:prSet/>
      <dgm:spPr/>
      <dgm:t>
        <a:bodyPr/>
        <a:lstStyle/>
        <a:p>
          <a:r>
            <a:rPr lang="es-ES_tradnl"/>
            <a:t>Laboratorio (Control de Calidad)</a:t>
          </a:r>
        </a:p>
      </dgm:t>
    </dgm:pt>
    <dgm:pt modelId="{B453E9D3-CBEA-475C-9EBB-5BC3D66C96C3}" type="parTrans" cxnId="{CA4794DD-DBA0-49B1-888F-7CAC9C8410AD}">
      <dgm:prSet/>
      <dgm:spPr/>
      <dgm:t>
        <a:bodyPr/>
        <a:lstStyle/>
        <a:p>
          <a:endParaRPr lang="es-ES_tradnl"/>
        </a:p>
      </dgm:t>
    </dgm:pt>
    <dgm:pt modelId="{DC18F664-DF8A-40DE-9508-06D2F46A9173}" type="sibTrans" cxnId="{CA4794DD-DBA0-49B1-888F-7CAC9C8410AD}">
      <dgm:prSet/>
      <dgm:spPr/>
      <dgm:t>
        <a:bodyPr/>
        <a:lstStyle/>
        <a:p>
          <a:endParaRPr lang="es-ES_tradnl"/>
        </a:p>
      </dgm:t>
    </dgm:pt>
    <dgm:pt modelId="{BBB91B83-F582-4929-8B2B-85A162409842}">
      <dgm:prSet/>
      <dgm:spPr/>
      <dgm:t>
        <a:bodyPr/>
        <a:lstStyle/>
        <a:p>
          <a:r>
            <a:rPr lang="es-ES_tradnl"/>
            <a:t>Estación Contra Incendios</a:t>
          </a:r>
        </a:p>
      </dgm:t>
    </dgm:pt>
    <dgm:pt modelId="{2010DC0D-6058-4018-9B35-0EFFB4DC44E0}" type="parTrans" cxnId="{E6227574-B1BE-4EFA-B22D-4DF200C500E2}">
      <dgm:prSet/>
      <dgm:spPr/>
      <dgm:t>
        <a:bodyPr/>
        <a:lstStyle/>
        <a:p>
          <a:endParaRPr lang="es-ES_tradnl"/>
        </a:p>
      </dgm:t>
    </dgm:pt>
    <dgm:pt modelId="{458AC288-F7B9-45FD-9504-1C488F950C48}" type="sibTrans" cxnId="{E6227574-B1BE-4EFA-B22D-4DF200C500E2}">
      <dgm:prSet/>
      <dgm:spPr/>
      <dgm:t>
        <a:bodyPr/>
        <a:lstStyle/>
        <a:p>
          <a:endParaRPr lang="es-ES_tradnl"/>
        </a:p>
      </dgm:t>
    </dgm:pt>
    <dgm:pt modelId="{A4B3BFCC-315E-4E25-84E6-DB711C3C40FE}">
      <dgm:prSet/>
      <dgm:spPr/>
      <dgm:t>
        <a:bodyPr/>
        <a:lstStyle/>
        <a:p>
          <a:r>
            <a:rPr lang="es-ES_tradnl"/>
            <a:t>Contabilidad</a:t>
          </a:r>
        </a:p>
      </dgm:t>
    </dgm:pt>
    <dgm:pt modelId="{667F20D3-BA49-4BE0-9F62-DAEA31EB1A59}" type="parTrans" cxnId="{0E4387BA-B3F1-475B-9107-2D7FDF5A5FE7}">
      <dgm:prSet/>
      <dgm:spPr/>
      <dgm:t>
        <a:bodyPr/>
        <a:lstStyle/>
        <a:p>
          <a:endParaRPr lang="es-ES_tradnl"/>
        </a:p>
      </dgm:t>
    </dgm:pt>
    <dgm:pt modelId="{AA56F3A3-6FC0-4E75-9891-65BA592D83D1}" type="sibTrans" cxnId="{0E4387BA-B3F1-475B-9107-2D7FDF5A5FE7}">
      <dgm:prSet/>
      <dgm:spPr/>
      <dgm:t>
        <a:bodyPr/>
        <a:lstStyle/>
        <a:p>
          <a:endParaRPr lang="es-ES_tradnl"/>
        </a:p>
      </dgm:t>
    </dgm:pt>
    <dgm:pt modelId="{94EC6D3E-5BAA-45A5-A274-945D95BCBB3F}">
      <dgm:prSet/>
      <dgm:spPr/>
      <dgm:t>
        <a:bodyPr/>
        <a:lstStyle/>
        <a:p>
          <a:r>
            <a:rPr lang="es-ES_tradnl"/>
            <a:t>Finanzas</a:t>
          </a:r>
        </a:p>
      </dgm:t>
    </dgm:pt>
    <dgm:pt modelId="{74231CDD-B9EE-47E9-BB11-49B744EADC8A}" type="parTrans" cxnId="{FCD5DC7C-4D5B-41C7-A786-C054EBDE5A7F}">
      <dgm:prSet/>
      <dgm:spPr/>
      <dgm:t>
        <a:bodyPr/>
        <a:lstStyle/>
        <a:p>
          <a:endParaRPr lang="es-ES_tradnl"/>
        </a:p>
      </dgm:t>
    </dgm:pt>
    <dgm:pt modelId="{DA94412F-97FF-4FC3-B9D9-5AF6B8300A7B}" type="sibTrans" cxnId="{FCD5DC7C-4D5B-41C7-A786-C054EBDE5A7F}">
      <dgm:prSet/>
      <dgm:spPr/>
      <dgm:t>
        <a:bodyPr/>
        <a:lstStyle/>
        <a:p>
          <a:endParaRPr lang="es-ES_tradnl"/>
        </a:p>
      </dgm:t>
    </dgm:pt>
    <dgm:pt modelId="{F8A0CCC5-4FBB-4110-ABC0-334660C69E12}">
      <dgm:prSet/>
      <dgm:spPr/>
      <dgm:t>
        <a:bodyPr/>
        <a:lstStyle/>
        <a:p>
          <a:r>
            <a:rPr lang="es-ES_tradnl"/>
            <a:t>Logística</a:t>
          </a:r>
        </a:p>
      </dgm:t>
    </dgm:pt>
    <dgm:pt modelId="{F473E09F-683E-4465-B250-E76F7FB6676D}" type="parTrans" cxnId="{6ED06E48-0429-42C9-A3C3-64F255BFD6EB}">
      <dgm:prSet/>
      <dgm:spPr/>
      <dgm:t>
        <a:bodyPr/>
        <a:lstStyle/>
        <a:p>
          <a:endParaRPr lang="es-ES_tradnl"/>
        </a:p>
      </dgm:t>
    </dgm:pt>
    <dgm:pt modelId="{0D390FFF-401D-413D-9C75-39F5437385F3}" type="sibTrans" cxnId="{6ED06E48-0429-42C9-A3C3-64F255BFD6EB}">
      <dgm:prSet/>
      <dgm:spPr/>
      <dgm:t>
        <a:bodyPr/>
        <a:lstStyle/>
        <a:p>
          <a:endParaRPr lang="es-ES_tradnl"/>
        </a:p>
      </dgm:t>
    </dgm:pt>
    <dgm:pt modelId="{92F4AF1C-F294-4F83-BB2F-408E5AA15ECA}" type="pres">
      <dgm:prSet presAssocID="{B98CC36E-D1E4-47A9-B15A-74A1CF28F84C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s-ES_tradnl"/>
        </a:p>
      </dgm:t>
    </dgm:pt>
    <dgm:pt modelId="{DC65ED71-EF63-4B16-979A-1DCC2EDCEC05}" type="pres">
      <dgm:prSet presAssocID="{FDEC69F6-C3D8-4E69-947B-0C5B7E8B7A04}" presName="hierRoot1" presStyleCnt="0">
        <dgm:presLayoutVars>
          <dgm:hierBranch val="init"/>
        </dgm:presLayoutVars>
      </dgm:prSet>
      <dgm:spPr/>
      <dgm:t>
        <a:bodyPr/>
        <a:lstStyle/>
        <a:p>
          <a:endParaRPr lang="es-ES_tradnl"/>
        </a:p>
      </dgm:t>
    </dgm:pt>
    <dgm:pt modelId="{47EBFD7B-B700-48DB-882D-961680DCBDC2}" type="pres">
      <dgm:prSet presAssocID="{FDEC69F6-C3D8-4E69-947B-0C5B7E8B7A04}" presName="rootComposite1" presStyleCnt="0"/>
      <dgm:spPr/>
      <dgm:t>
        <a:bodyPr/>
        <a:lstStyle/>
        <a:p>
          <a:endParaRPr lang="es-ES_tradnl"/>
        </a:p>
      </dgm:t>
    </dgm:pt>
    <dgm:pt modelId="{929B2D5F-7B3E-48AD-A8B9-5AF54643F577}" type="pres">
      <dgm:prSet presAssocID="{FDEC69F6-C3D8-4E69-947B-0C5B7E8B7A04}" presName="rootText1" presStyleLbl="node0" presStyleIdx="0" presStyleCnt="1" custLinFactNeighborX="1337" custLinFactNeighborY="20789">
        <dgm:presLayoutVars>
          <dgm:chPref val="3"/>
        </dgm:presLayoutVars>
      </dgm:prSet>
      <dgm:spPr/>
      <dgm:t>
        <a:bodyPr/>
        <a:lstStyle/>
        <a:p>
          <a:endParaRPr lang="es-ES_tradnl"/>
        </a:p>
      </dgm:t>
    </dgm:pt>
    <dgm:pt modelId="{24EC72DA-6A70-4063-8B3E-44C442CC15E5}" type="pres">
      <dgm:prSet presAssocID="{FDEC69F6-C3D8-4E69-947B-0C5B7E8B7A04}" presName="rootConnector1" presStyleLbl="node1" presStyleIdx="0" presStyleCnt="0"/>
      <dgm:spPr/>
      <dgm:t>
        <a:bodyPr/>
        <a:lstStyle/>
        <a:p>
          <a:endParaRPr lang="es-ES_tradnl"/>
        </a:p>
      </dgm:t>
    </dgm:pt>
    <dgm:pt modelId="{62FA570C-1D49-4DA9-99B2-B68E3B7120C4}" type="pres">
      <dgm:prSet presAssocID="{FDEC69F6-C3D8-4E69-947B-0C5B7E8B7A04}" presName="hierChild2" presStyleCnt="0"/>
      <dgm:spPr/>
      <dgm:t>
        <a:bodyPr/>
        <a:lstStyle/>
        <a:p>
          <a:endParaRPr lang="es-ES_tradnl"/>
        </a:p>
      </dgm:t>
    </dgm:pt>
    <dgm:pt modelId="{ACBFD0EA-9363-46F0-872B-3F3BEBEA0696}" type="pres">
      <dgm:prSet presAssocID="{41236E9A-073F-4D23-A5F4-DF190BF89B9A}" presName="Name37" presStyleLbl="parChTrans1D2" presStyleIdx="0" presStyleCnt="1"/>
      <dgm:spPr/>
      <dgm:t>
        <a:bodyPr/>
        <a:lstStyle/>
        <a:p>
          <a:endParaRPr lang="es-ES_tradnl"/>
        </a:p>
      </dgm:t>
    </dgm:pt>
    <dgm:pt modelId="{F91D5B02-0D90-46D2-B350-19859ED6901F}" type="pres">
      <dgm:prSet presAssocID="{5BCA529F-93C9-4569-BF71-845356CDD3F7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_tradnl"/>
        </a:p>
      </dgm:t>
    </dgm:pt>
    <dgm:pt modelId="{CF980796-F370-4E83-BB0E-7E8F23003A7D}" type="pres">
      <dgm:prSet presAssocID="{5BCA529F-93C9-4569-BF71-845356CDD3F7}" presName="rootComposite" presStyleCnt="0"/>
      <dgm:spPr/>
      <dgm:t>
        <a:bodyPr/>
        <a:lstStyle/>
        <a:p>
          <a:endParaRPr lang="es-ES_tradnl"/>
        </a:p>
      </dgm:t>
    </dgm:pt>
    <dgm:pt modelId="{4EC53F41-382F-429A-8A5A-E2C4DBF92994}" type="pres">
      <dgm:prSet presAssocID="{5BCA529F-93C9-4569-BF71-845356CDD3F7}" presName="rootText" presStyleLbl="node2" presStyleIdx="0" presStyleCnt="1">
        <dgm:presLayoutVars>
          <dgm:chPref val="3"/>
        </dgm:presLayoutVars>
      </dgm:prSet>
      <dgm:spPr/>
      <dgm:t>
        <a:bodyPr/>
        <a:lstStyle/>
        <a:p>
          <a:endParaRPr lang="es-ES_tradnl"/>
        </a:p>
      </dgm:t>
    </dgm:pt>
    <dgm:pt modelId="{8557A0FA-67E7-49D8-91AC-AF5DD1527461}" type="pres">
      <dgm:prSet presAssocID="{5BCA529F-93C9-4569-BF71-845356CDD3F7}" presName="rootConnector" presStyleLbl="node2" presStyleIdx="0" presStyleCnt="1"/>
      <dgm:spPr/>
      <dgm:t>
        <a:bodyPr/>
        <a:lstStyle/>
        <a:p>
          <a:endParaRPr lang="es-ES_tradnl"/>
        </a:p>
      </dgm:t>
    </dgm:pt>
    <dgm:pt modelId="{DE9FC09C-32F7-4510-9F29-95C16F0849A7}" type="pres">
      <dgm:prSet presAssocID="{5BCA529F-93C9-4569-BF71-845356CDD3F7}" presName="hierChild4" presStyleCnt="0"/>
      <dgm:spPr/>
      <dgm:t>
        <a:bodyPr/>
        <a:lstStyle/>
        <a:p>
          <a:endParaRPr lang="es-ES_tradnl"/>
        </a:p>
      </dgm:t>
    </dgm:pt>
    <dgm:pt modelId="{7718DBF1-9241-4E84-B84C-1BCE55D33C86}" type="pres">
      <dgm:prSet presAssocID="{F8CA2F3E-C76E-498D-9A96-F58810A35481}" presName="Name37" presStyleLbl="parChTrans1D3" presStyleIdx="0" presStyleCnt="1"/>
      <dgm:spPr/>
      <dgm:t>
        <a:bodyPr/>
        <a:lstStyle/>
        <a:p>
          <a:endParaRPr lang="es-ES_tradnl"/>
        </a:p>
      </dgm:t>
    </dgm:pt>
    <dgm:pt modelId="{F2EFE309-C1DF-4B53-BE2C-53EE31F3DBB3}" type="pres">
      <dgm:prSet presAssocID="{75DCB31F-7D81-4FC5-8051-FBA8D77E480F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_tradnl"/>
        </a:p>
      </dgm:t>
    </dgm:pt>
    <dgm:pt modelId="{B525BF5A-8C4B-4EE6-B806-E287C10FAA7B}" type="pres">
      <dgm:prSet presAssocID="{75DCB31F-7D81-4FC5-8051-FBA8D77E480F}" presName="rootComposite" presStyleCnt="0"/>
      <dgm:spPr/>
      <dgm:t>
        <a:bodyPr/>
        <a:lstStyle/>
        <a:p>
          <a:endParaRPr lang="es-ES_tradnl"/>
        </a:p>
      </dgm:t>
    </dgm:pt>
    <dgm:pt modelId="{E7F8B899-445C-4E8C-9710-31D46A51F473}" type="pres">
      <dgm:prSet presAssocID="{75DCB31F-7D81-4FC5-8051-FBA8D77E480F}" presName="rootText" presStyleLbl="node3" presStyleIdx="0" presStyleCnt="1">
        <dgm:presLayoutVars>
          <dgm:chPref val="3"/>
        </dgm:presLayoutVars>
      </dgm:prSet>
      <dgm:spPr/>
      <dgm:t>
        <a:bodyPr/>
        <a:lstStyle/>
        <a:p>
          <a:endParaRPr lang="es-ES_tradnl"/>
        </a:p>
      </dgm:t>
    </dgm:pt>
    <dgm:pt modelId="{BDD1CDC9-C022-4E2D-A0C8-6D71B7D0734A}" type="pres">
      <dgm:prSet presAssocID="{75DCB31F-7D81-4FC5-8051-FBA8D77E480F}" presName="rootConnector" presStyleLbl="node3" presStyleIdx="0" presStyleCnt="1"/>
      <dgm:spPr/>
      <dgm:t>
        <a:bodyPr/>
        <a:lstStyle/>
        <a:p>
          <a:endParaRPr lang="es-ES_tradnl"/>
        </a:p>
      </dgm:t>
    </dgm:pt>
    <dgm:pt modelId="{E04E0CC8-D7BA-43AF-AEBF-BC490CCA69E3}" type="pres">
      <dgm:prSet presAssocID="{75DCB31F-7D81-4FC5-8051-FBA8D77E480F}" presName="hierChild4" presStyleCnt="0"/>
      <dgm:spPr/>
      <dgm:t>
        <a:bodyPr/>
        <a:lstStyle/>
        <a:p>
          <a:endParaRPr lang="es-ES_tradnl"/>
        </a:p>
      </dgm:t>
    </dgm:pt>
    <dgm:pt modelId="{B9B908C0-B3DA-4B86-8BB4-155FF1417FEC}" type="pres">
      <dgm:prSet presAssocID="{75DCB31F-7D81-4FC5-8051-FBA8D77E480F}" presName="hierChild5" presStyleCnt="0"/>
      <dgm:spPr/>
      <dgm:t>
        <a:bodyPr/>
        <a:lstStyle/>
        <a:p>
          <a:endParaRPr lang="es-ES_tradnl"/>
        </a:p>
      </dgm:t>
    </dgm:pt>
    <dgm:pt modelId="{F68E954B-3771-408C-872C-353A63805C2B}" type="pres">
      <dgm:prSet presAssocID="{50F7370B-755E-4E99-8BD2-9BC074C05D3E}" presName="Name111" presStyleLbl="parChTrans1D4" presStyleIdx="0" presStyleCnt="13"/>
      <dgm:spPr/>
      <dgm:t>
        <a:bodyPr/>
        <a:lstStyle/>
        <a:p>
          <a:endParaRPr lang="es-ES_tradnl"/>
        </a:p>
      </dgm:t>
    </dgm:pt>
    <dgm:pt modelId="{2E2CD2DE-5AAE-4119-875B-57DEAA20E168}" type="pres">
      <dgm:prSet presAssocID="{0161ED3D-CF23-436B-807A-05A0D38F5EA7}" presName="hierRoot3" presStyleCnt="0">
        <dgm:presLayoutVars>
          <dgm:hierBranch val="init"/>
        </dgm:presLayoutVars>
      </dgm:prSet>
      <dgm:spPr/>
      <dgm:t>
        <a:bodyPr/>
        <a:lstStyle/>
        <a:p>
          <a:endParaRPr lang="es-ES_tradnl"/>
        </a:p>
      </dgm:t>
    </dgm:pt>
    <dgm:pt modelId="{EA7C0816-46A6-43FD-BF3B-8375A49C4287}" type="pres">
      <dgm:prSet presAssocID="{0161ED3D-CF23-436B-807A-05A0D38F5EA7}" presName="rootComposite3" presStyleCnt="0"/>
      <dgm:spPr/>
      <dgm:t>
        <a:bodyPr/>
        <a:lstStyle/>
        <a:p>
          <a:endParaRPr lang="es-ES_tradnl"/>
        </a:p>
      </dgm:t>
    </dgm:pt>
    <dgm:pt modelId="{19896AAB-86BB-4877-BD04-2BBF12A4C816}" type="pres">
      <dgm:prSet presAssocID="{0161ED3D-CF23-436B-807A-05A0D38F5EA7}" presName="rootText3" presStyleLbl="asst3" presStyleIdx="0" presStyleCnt="2" custLinFactNeighborX="-28890" custLinFactNeighborY="4339">
        <dgm:presLayoutVars>
          <dgm:chPref val="3"/>
        </dgm:presLayoutVars>
      </dgm:prSet>
      <dgm:spPr/>
      <dgm:t>
        <a:bodyPr/>
        <a:lstStyle/>
        <a:p>
          <a:endParaRPr lang="es-ES_tradnl"/>
        </a:p>
      </dgm:t>
    </dgm:pt>
    <dgm:pt modelId="{573B90CF-0D06-412D-8736-E86079853E6B}" type="pres">
      <dgm:prSet presAssocID="{0161ED3D-CF23-436B-807A-05A0D38F5EA7}" presName="rootConnector3" presStyleLbl="asst3" presStyleIdx="0" presStyleCnt="2"/>
      <dgm:spPr/>
      <dgm:t>
        <a:bodyPr/>
        <a:lstStyle/>
        <a:p>
          <a:endParaRPr lang="es-ES_tradnl"/>
        </a:p>
      </dgm:t>
    </dgm:pt>
    <dgm:pt modelId="{CD9EB7A0-9194-4B29-BD8A-CFC52BE4C656}" type="pres">
      <dgm:prSet presAssocID="{0161ED3D-CF23-436B-807A-05A0D38F5EA7}" presName="hierChild6" presStyleCnt="0"/>
      <dgm:spPr/>
      <dgm:t>
        <a:bodyPr/>
        <a:lstStyle/>
        <a:p>
          <a:endParaRPr lang="es-ES_tradnl"/>
        </a:p>
      </dgm:t>
    </dgm:pt>
    <dgm:pt modelId="{8953E43A-29AD-4873-82BB-82D98A165E39}" type="pres">
      <dgm:prSet presAssocID="{B353A672-CACE-450E-88A8-D855E82DD4B1}" presName="Name37" presStyleLbl="parChTrans1D4" presStyleIdx="1" presStyleCnt="13"/>
      <dgm:spPr/>
      <dgm:t>
        <a:bodyPr/>
        <a:lstStyle/>
        <a:p>
          <a:endParaRPr lang="es-ES_tradnl"/>
        </a:p>
      </dgm:t>
    </dgm:pt>
    <dgm:pt modelId="{05638D34-95F6-49E5-B53E-44A814A62268}" type="pres">
      <dgm:prSet presAssocID="{FBD6FEBC-257C-4422-9B87-4CC5E7D6DB4F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_tradnl"/>
        </a:p>
      </dgm:t>
    </dgm:pt>
    <dgm:pt modelId="{3BB4D01C-CCB5-4393-B8E4-848FC390D5CA}" type="pres">
      <dgm:prSet presAssocID="{FBD6FEBC-257C-4422-9B87-4CC5E7D6DB4F}" presName="rootComposite" presStyleCnt="0"/>
      <dgm:spPr/>
      <dgm:t>
        <a:bodyPr/>
        <a:lstStyle/>
        <a:p>
          <a:endParaRPr lang="es-ES_tradnl"/>
        </a:p>
      </dgm:t>
    </dgm:pt>
    <dgm:pt modelId="{A5E2AF8E-CB6D-42AD-9865-A1F7D7E7CB9D}" type="pres">
      <dgm:prSet presAssocID="{FBD6FEBC-257C-4422-9B87-4CC5E7D6DB4F}" presName="rootText" presStyleLbl="node4" presStyleIdx="0" presStyleCnt="11">
        <dgm:presLayoutVars>
          <dgm:chPref val="3"/>
        </dgm:presLayoutVars>
      </dgm:prSet>
      <dgm:spPr/>
      <dgm:t>
        <a:bodyPr/>
        <a:lstStyle/>
        <a:p>
          <a:endParaRPr lang="es-ES_tradnl"/>
        </a:p>
      </dgm:t>
    </dgm:pt>
    <dgm:pt modelId="{936C0F5E-370B-4ACD-8F1D-DE6B78319386}" type="pres">
      <dgm:prSet presAssocID="{FBD6FEBC-257C-4422-9B87-4CC5E7D6DB4F}" presName="rootConnector" presStyleLbl="node4" presStyleIdx="0" presStyleCnt="11"/>
      <dgm:spPr/>
      <dgm:t>
        <a:bodyPr/>
        <a:lstStyle/>
        <a:p>
          <a:endParaRPr lang="es-ES_tradnl"/>
        </a:p>
      </dgm:t>
    </dgm:pt>
    <dgm:pt modelId="{88F5F38C-BE5B-481F-A07A-A7DD186124B9}" type="pres">
      <dgm:prSet presAssocID="{FBD6FEBC-257C-4422-9B87-4CC5E7D6DB4F}" presName="hierChild4" presStyleCnt="0"/>
      <dgm:spPr/>
      <dgm:t>
        <a:bodyPr/>
        <a:lstStyle/>
        <a:p>
          <a:endParaRPr lang="es-ES_tradnl"/>
        </a:p>
      </dgm:t>
    </dgm:pt>
    <dgm:pt modelId="{DC4E401A-6222-487D-8C88-846EEA8BD9DD}" type="pres">
      <dgm:prSet presAssocID="{FBD6FEBC-257C-4422-9B87-4CC5E7D6DB4F}" presName="hierChild5" presStyleCnt="0"/>
      <dgm:spPr/>
      <dgm:t>
        <a:bodyPr/>
        <a:lstStyle/>
        <a:p>
          <a:endParaRPr lang="es-ES_tradnl"/>
        </a:p>
      </dgm:t>
    </dgm:pt>
    <dgm:pt modelId="{DC291BEE-FFBC-4344-9224-1DD0AD18DFF6}" type="pres">
      <dgm:prSet presAssocID="{8C86214E-014E-480A-BBBC-6F5E2B2BEE38}" presName="Name37" presStyleLbl="parChTrans1D4" presStyleIdx="2" presStyleCnt="13"/>
      <dgm:spPr/>
      <dgm:t>
        <a:bodyPr/>
        <a:lstStyle/>
        <a:p>
          <a:endParaRPr lang="es-ES_tradnl"/>
        </a:p>
      </dgm:t>
    </dgm:pt>
    <dgm:pt modelId="{200D2F9A-21ED-4C5B-B91C-C7050F9CCD20}" type="pres">
      <dgm:prSet presAssocID="{00E2CBC2-1AF8-4911-86DD-0AF3115DE389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_tradnl"/>
        </a:p>
      </dgm:t>
    </dgm:pt>
    <dgm:pt modelId="{68745372-46B3-4ED1-ACD0-5FD825F67D3A}" type="pres">
      <dgm:prSet presAssocID="{00E2CBC2-1AF8-4911-86DD-0AF3115DE389}" presName="rootComposite" presStyleCnt="0"/>
      <dgm:spPr/>
      <dgm:t>
        <a:bodyPr/>
        <a:lstStyle/>
        <a:p>
          <a:endParaRPr lang="es-ES_tradnl"/>
        </a:p>
      </dgm:t>
    </dgm:pt>
    <dgm:pt modelId="{2FEB2CF7-B2A6-43E7-9675-117009245ACF}" type="pres">
      <dgm:prSet presAssocID="{00E2CBC2-1AF8-4911-86DD-0AF3115DE389}" presName="rootText" presStyleLbl="node4" presStyleIdx="1" presStyleCnt="11">
        <dgm:presLayoutVars>
          <dgm:chPref val="3"/>
        </dgm:presLayoutVars>
      </dgm:prSet>
      <dgm:spPr/>
      <dgm:t>
        <a:bodyPr/>
        <a:lstStyle/>
        <a:p>
          <a:endParaRPr lang="es-ES_tradnl"/>
        </a:p>
      </dgm:t>
    </dgm:pt>
    <dgm:pt modelId="{060441DC-0A7D-4FE5-9F9C-D3BDE4D1CCCC}" type="pres">
      <dgm:prSet presAssocID="{00E2CBC2-1AF8-4911-86DD-0AF3115DE389}" presName="rootConnector" presStyleLbl="node4" presStyleIdx="1" presStyleCnt="11"/>
      <dgm:spPr/>
      <dgm:t>
        <a:bodyPr/>
        <a:lstStyle/>
        <a:p>
          <a:endParaRPr lang="es-ES_tradnl"/>
        </a:p>
      </dgm:t>
    </dgm:pt>
    <dgm:pt modelId="{D6A822B5-677E-428F-BB8C-3A5370F4A29A}" type="pres">
      <dgm:prSet presAssocID="{00E2CBC2-1AF8-4911-86DD-0AF3115DE389}" presName="hierChild4" presStyleCnt="0"/>
      <dgm:spPr/>
      <dgm:t>
        <a:bodyPr/>
        <a:lstStyle/>
        <a:p>
          <a:endParaRPr lang="es-ES_tradnl"/>
        </a:p>
      </dgm:t>
    </dgm:pt>
    <dgm:pt modelId="{AF56AB2E-07F9-46BA-BCE2-02C8BCE73D2B}" type="pres">
      <dgm:prSet presAssocID="{00E2CBC2-1AF8-4911-86DD-0AF3115DE389}" presName="hierChild5" presStyleCnt="0"/>
      <dgm:spPr/>
      <dgm:t>
        <a:bodyPr/>
        <a:lstStyle/>
        <a:p>
          <a:endParaRPr lang="es-ES_tradnl"/>
        </a:p>
      </dgm:t>
    </dgm:pt>
    <dgm:pt modelId="{48CA259A-E870-48F0-B163-1E49E71BE027}" type="pres">
      <dgm:prSet presAssocID="{FD586DC0-9A34-490B-88FA-55961861CA48}" presName="Name37" presStyleLbl="parChTrans1D4" presStyleIdx="3" presStyleCnt="13"/>
      <dgm:spPr/>
      <dgm:t>
        <a:bodyPr/>
        <a:lstStyle/>
        <a:p>
          <a:endParaRPr lang="es-ES_tradnl"/>
        </a:p>
      </dgm:t>
    </dgm:pt>
    <dgm:pt modelId="{DE38C1F8-9B2A-4A1C-94D7-8A93E7AC2986}" type="pres">
      <dgm:prSet presAssocID="{B6D41BAF-67E0-4826-B15C-D59789B3F5CE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_tradnl"/>
        </a:p>
      </dgm:t>
    </dgm:pt>
    <dgm:pt modelId="{A3F9A120-B14B-4635-9E00-E2102E7FF1CA}" type="pres">
      <dgm:prSet presAssocID="{B6D41BAF-67E0-4826-B15C-D59789B3F5CE}" presName="rootComposite" presStyleCnt="0"/>
      <dgm:spPr/>
      <dgm:t>
        <a:bodyPr/>
        <a:lstStyle/>
        <a:p>
          <a:endParaRPr lang="es-ES_tradnl"/>
        </a:p>
      </dgm:t>
    </dgm:pt>
    <dgm:pt modelId="{9D70EEB4-6A4C-40C0-BA80-A8E2A07BE67B}" type="pres">
      <dgm:prSet presAssocID="{B6D41BAF-67E0-4826-B15C-D59789B3F5CE}" presName="rootText" presStyleLbl="node4" presStyleIdx="2" presStyleCnt="11">
        <dgm:presLayoutVars>
          <dgm:chPref val="3"/>
        </dgm:presLayoutVars>
      </dgm:prSet>
      <dgm:spPr/>
      <dgm:t>
        <a:bodyPr/>
        <a:lstStyle/>
        <a:p>
          <a:endParaRPr lang="es-ES_tradnl"/>
        </a:p>
      </dgm:t>
    </dgm:pt>
    <dgm:pt modelId="{4E430C33-EE76-4E5C-B09F-23DE9D40ECC4}" type="pres">
      <dgm:prSet presAssocID="{B6D41BAF-67E0-4826-B15C-D59789B3F5CE}" presName="rootConnector" presStyleLbl="node4" presStyleIdx="2" presStyleCnt="11"/>
      <dgm:spPr/>
      <dgm:t>
        <a:bodyPr/>
        <a:lstStyle/>
        <a:p>
          <a:endParaRPr lang="es-ES_tradnl"/>
        </a:p>
      </dgm:t>
    </dgm:pt>
    <dgm:pt modelId="{E127799A-1AB9-4D64-ADEA-B21891DC03F1}" type="pres">
      <dgm:prSet presAssocID="{B6D41BAF-67E0-4826-B15C-D59789B3F5CE}" presName="hierChild4" presStyleCnt="0"/>
      <dgm:spPr/>
      <dgm:t>
        <a:bodyPr/>
        <a:lstStyle/>
        <a:p>
          <a:endParaRPr lang="es-ES_tradnl"/>
        </a:p>
      </dgm:t>
    </dgm:pt>
    <dgm:pt modelId="{0704D202-48F5-4E0F-8487-9F4FCA1F6FC6}" type="pres">
      <dgm:prSet presAssocID="{B6D41BAF-67E0-4826-B15C-D59789B3F5CE}" presName="hierChild5" presStyleCnt="0"/>
      <dgm:spPr/>
      <dgm:t>
        <a:bodyPr/>
        <a:lstStyle/>
        <a:p>
          <a:endParaRPr lang="es-ES_tradnl"/>
        </a:p>
      </dgm:t>
    </dgm:pt>
    <dgm:pt modelId="{E2F98020-2497-4A89-B5EE-1DAB27A9D598}" type="pres">
      <dgm:prSet presAssocID="{4511A9DD-6810-43FA-8EC4-C65589027D44}" presName="Name37" presStyleLbl="parChTrans1D4" presStyleIdx="4" presStyleCnt="13"/>
      <dgm:spPr/>
      <dgm:t>
        <a:bodyPr/>
        <a:lstStyle/>
        <a:p>
          <a:endParaRPr lang="es-ES_tradnl"/>
        </a:p>
      </dgm:t>
    </dgm:pt>
    <dgm:pt modelId="{918EB9A3-B8EC-4317-B00A-EC04267CD314}" type="pres">
      <dgm:prSet presAssocID="{A92DD7D3-42F5-4A83-9CCD-FDD86C74842F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_tradnl"/>
        </a:p>
      </dgm:t>
    </dgm:pt>
    <dgm:pt modelId="{6CD4B782-3EA3-412E-8A6F-09EE29AEC30C}" type="pres">
      <dgm:prSet presAssocID="{A92DD7D3-42F5-4A83-9CCD-FDD86C74842F}" presName="rootComposite" presStyleCnt="0"/>
      <dgm:spPr/>
      <dgm:t>
        <a:bodyPr/>
        <a:lstStyle/>
        <a:p>
          <a:endParaRPr lang="es-ES_tradnl"/>
        </a:p>
      </dgm:t>
    </dgm:pt>
    <dgm:pt modelId="{832906AF-693C-4520-8C4C-5C9E659F74D5}" type="pres">
      <dgm:prSet presAssocID="{A92DD7D3-42F5-4A83-9CCD-FDD86C74842F}" presName="rootText" presStyleLbl="node4" presStyleIdx="3" presStyleCnt="11">
        <dgm:presLayoutVars>
          <dgm:chPref val="3"/>
        </dgm:presLayoutVars>
      </dgm:prSet>
      <dgm:spPr/>
      <dgm:t>
        <a:bodyPr/>
        <a:lstStyle/>
        <a:p>
          <a:endParaRPr lang="es-ES_tradnl"/>
        </a:p>
      </dgm:t>
    </dgm:pt>
    <dgm:pt modelId="{C77C9BCB-7E9D-44AA-9A55-007B3AF9EE3D}" type="pres">
      <dgm:prSet presAssocID="{A92DD7D3-42F5-4A83-9CCD-FDD86C74842F}" presName="rootConnector" presStyleLbl="node4" presStyleIdx="3" presStyleCnt="11"/>
      <dgm:spPr/>
      <dgm:t>
        <a:bodyPr/>
        <a:lstStyle/>
        <a:p>
          <a:endParaRPr lang="es-ES_tradnl"/>
        </a:p>
      </dgm:t>
    </dgm:pt>
    <dgm:pt modelId="{B5A692A1-CE23-49D8-9995-C49E7BFA0AFA}" type="pres">
      <dgm:prSet presAssocID="{A92DD7D3-42F5-4A83-9CCD-FDD86C74842F}" presName="hierChild4" presStyleCnt="0"/>
      <dgm:spPr/>
      <dgm:t>
        <a:bodyPr/>
        <a:lstStyle/>
        <a:p>
          <a:endParaRPr lang="es-ES_tradnl"/>
        </a:p>
      </dgm:t>
    </dgm:pt>
    <dgm:pt modelId="{8819DF69-CAEF-4687-A563-926C678C4C49}" type="pres">
      <dgm:prSet presAssocID="{A92DD7D3-42F5-4A83-9CCD-FDD86C74842F}" presName="hierChild5" presStyleCnt="0"/>
      <dgm:spPr/>
      <dgm:t>
        <a:bodyPr/>
        <a:lstStyle/>
        <a:p>
          <a:endParaRPr lang="es-ES_tradnl"/>
        </a:p>
      </dgm:t>
    </dgm:pt>
    <dgm:pt modelId="{76922577-CB33-4FE7-AB61-25FC23986BCF}" type="pres">
      <dgm:prSet presAssocID="{55DB263B-2931-40ED-87BE-711767DBCAFE}" presName="Name37" presStyleLbl="parChTrans1D4" presStyleIdx="5" presStyleCnt="13"/>
      <dgm:spPr/>
      <dgm:t>
        <a:bodyPr/>
        <a:lstStyle/>
        <a:p>
          <a:endParaRPr lang="es-ES_tradnl"/>
        </a:p>
      </dgm:t>
    </dgm:pt>
    <dgm:pt modelId="{7797BDD3-12DB-4A07-9ADF-3FA931C0DC8B}" type="pres">
      <dgm:prSet presAssocID="{146A2BB3-1FB5-484C-A237-A341A3CCF0B5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_tradnl"/>
        </a:p>
      </dgm:t>
    </dgm:pt>
    <dgm:pt modelId="{6ACCB59F-3926-4987-A2B7-B4293192111D}" type="pres">
      <dgm:prSet presAssocID="{146A2BB3-1FB5-484C-A237-A341A3CCF0B5}" presName="rootComposite" presStyleCnt="0"/>
      <dgm:spPr/>
      <dgm:t>
        <a:bodyPr/>
        <a:lstStyle/>
        <a:p>
          <a:endParaRPr lang="es-ES_tradnl"/>
        </a:p>
      </dgm:t>
    </dgm:pt>
    <dgm:pt modelId="{2782AB8A-BDF0-4F0B-A499-278A94D9EC34}" type="pres">
      <dgm:prSet presAssocID="{146A2BB3-1FB5-484C-A237-A341A3CCF0B5}" presName="rootText" presStyleLbl="node4" presStyleIdx="4" presStyleCnt="11">
        <dgm:presLayoutVars>
          <dgm:chPref val="3"/>
        </dgm:presLayoutVars>
      </dgm:prSet>
      <dgm:spPr/>
      <dgm:t>
        <a:bodyPr/>
        <a:lstStyle/>
        <a:p>
          <a:endParaRPr lang="es-ES_tradnl"/>
        </a:p>
      </dgm:t>
    </dgm:pt>
    <dgm:pt modelId="{5B7D4BAC-BE56-408A-AAA2-BAB13D95CB66}" type="pres">
      <dgm:prSet presAssocID="{146A2BB3-1FB5-484C-A237-A341A3CCF0B5}" presName="rootConnector" presStyleLbl="node4" presStyleIdx="4" presStyleCnt="11"/>
      <dgm:spPr/>
      <dgm:t>
        <a:bodyPr/>
        <a:lstStyle/>
        <a:p>
          <a:endParaRPr lang="es-ES_tradnl"/>
        </a:p>
      </dgm:t>
    </dgm:pt>
    <dgm:pt modelId="{BDDFC3B1-9D61-4E38-B3B0-27359FAB28D4}" type="pres">
      <dgm:prSet presAssocID="{146A2BB3-1FB5-484C-A237-A341A3CCF0B5}" presName="hierChild4" presStyleCnt="0"/>
      <dgm:spPr/>
      <dgm:t>
        <a:bodyPr/>
        <a:lstStyle/>
        <a:p>
          <a:endParaRPr lang="es-ES_tradnl"/>
        </a:p>
      </dgm:t>
    </dgm:pt>
    <dgm:pt modelId="{40A82F87-D76F-4025-842D-55ABF503E1DE}" type="pres">
      <dgm:prSet presAssocID="{146A2BB3-1FB5-484C-A237-A341A3CCF0B5}" presName="hierChild5" presStyleCnt="0"/>
      <dgm:spPr/>
      <dgm:t>
        <a:bodyPr/>
        <a:lstStyle/>
        <a:p>
          <a:endParaRPr lang="es-ES_tradnl"/>
        </a:p>
      </dgm:t>
    </dgm:pt>
    <dgm:pt modelId="{DD53F6F6-34AC-4D04-91A5-B362C0066CEB}" type="pres">
      <dgm:prSet presAssocID="{EAC5D0B0-D7F8-4808-BD66-5AC21EE6EBCC}" presName="Name37" presStyleLbl="parChTrans1D4" presStyleIdx="6" presStyleCnt="13"/>
      <dgm:spPr/>
      <dgm:t>
        <a:bodyPr/>
        <a:lstStyle/>
        <a:p>
          <a:endParaRPr lang="es-ES_tradnl"/>
        </a:p>
      </dgm:t>
    </dgm:pt>
    <dgm:pt modelId="{D1878E24-4E87-4795-A329-2B3B958A9437}" type="pres">
      <dgm:prSet presAssocID="{1C6A7EAC-27CE-4763-ACA5-538B80CB8A65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_tradnl"/>
        </a:p>
      </dgm:t>
    </dgm:pt>
    <dgm:pt modelId="{BC5C5972-93CC-410D-89D4-2D63FF2996BF}" type="pres">
      <dgm:prSet presAssocID="{1C6A7EAC-27CE-4763-ACA5-538B80CB8A65}" presName="rootComposite" presStyleCnt="0"/>
      <dgm:spPr/>
      <dgm:t>
        <a:bodyPr/>
        <a:lstStyle/>
        <a:p>
          <a:endParaRPr lang="es-ES_tradnl"/>
        </a:p>
      </dgm:t>
    </dgm:pt>
    <dgm:pt modelId="{B4423A37-501E-49EB-B63F-808CD4E098FC}" type="pres">
      <dgm:prSet presAssocID="{1C6A7EAC-27CE-4763-ACA5-538B80CB8A65}" presName="rootText" presStyleLbl="node4" presStyleIdx="5" presStyleCnt="11">
        <dgm:presLayoutVars>
          <dgm:chPref val="3"/>
        </dgm:presLayoutVars>
      </dgm:prSet>
      <dgm:spPr/>
      <dgm:t>
        <a:bodyPr/>
        <a:lstStyle/>
        <a:p>
          <a:endParaRPr lang="es-ES_tradnl"/>
        </a:p>
      </dgm:t>
    </dgm:pt>
    <dgm:pt modelId="{278B3F1F-7701-4757-BF5A-480DFF3933EC}" type="pres">
      <dgm:prSet presAssocID="{1C6A7EAC-27CE-4763-ACA5-538B80CB8A65}" presName="rootConnector" presStyleLbl="node4" presStyleIdx="5" presStyleCnt="11"/>
      <dgm:spPr/>
      <dgm:t>
        <a:bodyPr/>
        <a:lstStyle/>
        <a:p>
          <a:endParaRPr lang="es-ES_tradnl"/>
        </a:p>
      </dgm:t>
    </dgm:pt>
    <dgm:pt modelId="{42F837A0-12F0-45FA-A725-5F5A089ED1A7}" type="pres">
      <dgm:prSet presAssocID="{1C6A7EAC-27CE-4763-ACA5-538B80CB8A65}" presName="hierChild4" presStyleCnt="0"/>
      <dgm:spPr/>
      <dgm:t>
        <a:bodyPr/>
        <a:lstStyle/>
        <a:p>
          <a:endParaRPr lang="es-ES_tradnl"/>
        </a:p>
      </dgm:t>
    </dgm:pt>
    <dgm:pt modelId="{CA8B5B1C-8566-4E01-B511-8EFE855C60B5}" type="pres">
      <dgm:prSet presAssocID="{1C6A7EAC-27CE-4763-ACA5-538B80CB8A65}" presName="hierChild5" presStyleCnt="0"/>
      <dgm:spPr/>
      <dgm:t>
        <a:bodyPr/>
        <a:lstStyle/>
        <a:p>
          <a:endParaRPr lang="es-ES_tradnl"/>
        </a:p>
      </dgm:t>
    </dgm:pt>
    <dgm:pt modelId="{233741F9-A8E4-47DE-A451-0C8DA3D85510}" type="pres">
      <dgm:prSet presAssocID="{B453E9D3-CBEA-475C-9EBB-5BC3D66C96C3}" presName="Name37" presStyleLbl="parChTrans1D4" presStyleIdx="7" presStyleCnt="13"/>
      <dgm:spPr/>
      <dgm:t>
        <a:bodyPr/>
        <a:lstStyle/>
        <a:p>
          <a:endParaRPr lang="es-ES_tradnl"/>
        </a:p>
      </dgm:t>
    </dgm:pt>
    <dgm:pt modelId="{6CE25505-94E4-4EFE-A81A-64964B3D9738}" type="pres">
      <dgm:prSet presAssocID="{5CE7AC3B-4298-4979-8C6B-7731F966ED16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_tradnl"/>
        </a:p>
      </dgm:t>
    </dgm:pt>
    <dgm:pt modelId="{E4BD16FA-1C21-47B4-B5D6-5A5FF139A1E9}" type="pres">
      <dgm:prSet presAssocID="{5CE7AC3B-4298-4979-8C6B-7731F966ED16}" presName="rootComposite" presStyleCnt="0"/>
      <dgm:spPr/>
      <dgm:t>
        <a:bodyPr/>
        <a:lstStyle/>
        <a:p>
          <a:endParaRPr lang="es-ES_tradnl"/>
        </a:p>
      </dgm:t>
    </dgm:pt>
    <dgm:pt modelId="{4557E7E8-9724-45F3-A30D-F180BDE5491A}" type="pres">
      <dgm:prSet presAssocID="{5CE7AC3B-4298-4979-8C6B-7731F966ED16}" presName="rootText" presStyleLbl="node4" presStyleIdx="6" presStyleCnt="11">
        <dgm:presLayoutVars>
          <dgm:chPref val="3"/>
        </dgm:presLayoutVars>
      </dgm:prSet>
      <dgm:spPr/>
      <dgm:t>
        <a:bodyPr/>
        <a:lstStyle/>
        <a:p>
          <a:endParaRPr lang="es-ES_tradnl"/>
        </a:p>
      </dgm:t>
    </dgm:pt>
    <dgm:pt modelId="{F267E391-CDB4-49D1-93EF-2710FBAA19AA}" type="pres">
      <dgm:prSet presAssocID="{5CE7AC3B-4298-4979-8C6B-7731F966ED16}" presName="rootConnector" presStyleLbl="node4" presStyleIdx="6" presStyleCnt="11"/>
      <dgm:spPr/>
      <dgm:t>
        <a:bodyPr/>
        <a:lstStyle/>
        <a:p>
          <a:endParaRPr lang="es-ES_tradnl"/>
        </a:p>
      </dgm:t>
    </dgm:pt>
    <dgm:pt modelId="{9A8B181A-809D-4E7B-9B07-CB0E9DE1ED4D}" type="pres">
      <dgm:prSet presAssocID="{5CE7AC3B-4298-4979-8C6B-7731F966ED16}" presName="hierChild4" presStyleCnt="0"/>
      <dgm:spPr/>
      <dgm:t>
        <a:bodyPr/>
        <a:lstStyle/>
        <a:p>
          <a:endParaRPr lang="es-ES_tradnl"/>
        </a:p>
      </dgm:t>
    </dgm:pt>
    <dgm:pt modelId="{EF8D470E-1937-425B-8F22-A26E566D1EA4}" type="pres">
      <dgm:prSet presAssocID="{5CE7AC3B-4298-4979-8C6B-7731F966ED16}" presName="hierChild5" presStyleCnt="0"/>
      <dgm:spPr/>
      <dgm:t>
        <a:bodyPr/>
        <a:lstStyle/>
        <a:p>
          <a:endParaRPr lang="es-ES_tradnl"/>
        </a:p>
      </dgm:t>
    </dgm:pt>
    <dgm:pt modelId="{ED59254E-DE00-41F2-8B6E-BCD8A484E516}" type="pres">
      <dgm:prSet presAssocID="{2010DC0D-6058-4018-9B35-0EFFB4DC44E0}" presName="Name37" presStyleLbl="parChTrans1D4" presStyleIdx="8" presStyleCnt="13"/>
      <dgm:spPr/>
      <dgm:t>
        <a:bodyPr/>
        <a:lstStyle/>
        <a:p>
          <a:endParaRPr lang="es-ES_tradnl"/>
        </a:p>
      </dgm:t>
    </dgm:pt>
    <dgm:pt modelId="{414CA6F9-185B-4DBF-974C-4408F3BDE279}" type="pres">
      <dgm:prSet presAssocID="{BBB91B83-F582-4929-8B2B-85A162409842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_tradnl"/>
        </a:p>
      </dgm:t>
    </dgm:pt>
    <dgm:pt modelId="{97B03041-0654-4F42-A0F3-856C2630DF0E}" type="pres">
      <dgm:prSet presAssocID="{BBB91B83-F582-4929-8B2B-85A162409842}" presName="rootComposite" presStyleCnt="0"/>
      <dgm:spPr/>
      <dgm:t>
        <a:bodyPr/>
        <a:lstStyle/>
        <a:p>
          <a:endParaRPr lang="es-ES_tradnl"/>
        </a:p>
      </dgm:t>
    </dgm:pt>
    <dgm:pt modelId="{DC50E6FA-D69A-4B2E-9BAB-56B680118908}" type="pres">
      <dgm:prSet presAssocID="{BBB91B83-F582-4929-8B2B-85A162409842}" presName="rootText" presStyleLbl="node4" presStyleIdx="7" presStyleCnt="11">
        <dgm:presLayoutVars>
          <dgm:chPref val="3"/>
        </dgm:presLayoutVars>
      </dgm:prSet>
      <dgm:spPr/>
      <dgm:t>
        <a:bodyPr/>
        <a:lstStyle/>
        <a:p>
          <a:endParaRPr lang="es-ES_tradnl"/>
        </a:p>
      </dgm:t>
    </dgm:pt>
    <dgm:pt modelId="{C0BDF922-862D-4D0D-90A4-A0CF02D05360}" type="pres">
      <dgm:prSet presAssocID="{BBB91B83-F582-4929-8B2B-85A162409842}" presName="rootConnector" presStyleLbl="node4" presStyleIdx="7" presStyleCnt="11"/>
      <dgm:spPr/>
      <dgm:t>
        <a:bodyPr/>
        <a:lstStyle/>
        <a:p>
          <a:endParaRPr lang="es-ES_tradnl"/>
        </a:p>
      </dgm:t>
    </dgm:pt>
    <dgm:pt modelId="{39A1A62F-9DE5-40A2-ACDD-862CE28256A6}" type="pres">
      <dgm:prSet presAssocID="{BBB91B83-F582-4929-8B2B-85A162409842}" presName="hierChild4" presStyleCnt="0"/>
      <dgm:spPr/>
      <dgm:t>
        <a:bodyPr/>
        <a:lstStyle/>
        <a:p>
          <a:endParaRPr lang="es-ES_tradnl"/>
        </a:p>
      </dgm:t>
    </dgm:pt>
    <dgm:pt modelId="{F18A8F39-FBD3-46E7-81C0-70FAD4F429DE}" type="pres">
      <dgm:prSet presAssocID="{BBB91B83-F582-4929-8B2B-85A162409842}" presName="hierChild5" presStyleCnt="0"/>
      <dgm:spPr/>
      <dgm:t>
        <a:bodyPr/>
        <a:lstStyle/>
        <a:p>
          <a:endParaRPr lang="es-ES_tradnl"/>
        </a:p>
      </dgm:t>
    </dgm:pt>
    <dgm:pt modelId="{7A8561CE-FC93-43DF-B7A8-C46F92CBF52E}" type="pres">
      <dgm:prSet presAssocID="{0161ED3D-CF23-436B-807A-05A0D38F5EA7}" presName="hierChild7" presStyleCnt="0"/>
      <dgm:spPr/>
      <dgm:t>
        <a:bodyPr/>
        <a:lstStyle/>
        <a:p>
          <a:endParaRPr lang="es-ES_tradnl"/>
        </a:p>
      </dgm:t>
    </dgm:pt>
    <dgm:pt modelId="{36083C5F-EBE1-48EB-B0FB-FE0FA5952037}" type="pres">
      <dgm:prSet presAssocID="{E74559DE-5C4A-489D-9C17-2A5C3524EA27}" presName="Name111" presStyleLbl="parChTrans1D4" presStyleIdx="9" presStyleCnt="13"/>
      <dgm:spPr/>
      <dgm:t>
        <a:bodyPr/>
        <a:lstStyle/>
        <a:p>
          <a:endParaRPr lang="es-ES_tradnl"/>
        </a:p>
      </dgm:t>
    </dgm:pt>
    <dgm:pt modelId="{BE520D17-4FB7-4F6D-9694-2985FDB2C552}" type="pres">
      <dgm:prSet presAssocID="{C4C09CC5-7992-4F84-BDB1-439509EF7C10}" presName="hierRoot3" presStyleCnt="0">
        <dgm:presLayoutVars>
          <dgm:hierBranch val="l"/>
        </dgm:presLayoutVars>
      </dgm:prSet>
      <dgm:spPr/>
      <dgm:t>
        <a:bodyPr/>
        <a:lstStyle/>
        <a:p>
          <a:endParaRPr lang="es-ES_tradnl"/>
        </a:p>
      </dgm:t>
    </dgm:pt>
    <dgm:pt modelId="{61CE5CEC-4755-488E-B060-01CD611D35E9}" type="pres">
      <dgm:prSet presAssocID="{C4C09CC5-7992-4F84-BDB1-439509EF7C10}" presName="rootComposite3" presStyleCnt="0"/>
      <dgm:spPr/>
      <dgm:t>
        <a:bodyPr/>
        <a:lstStyle/>
        <a:p>
          <a:endParaRPr lang="es-ES_tradnl"/>
        </a:p>
      </dgm:t>
    </dgm:pt>
    <dgm:pt modelId="{C73FD368-35B6-4065-BF97-2C8D62881A19}" type="pres">
      <dgm:prSet presAssocID="{C4C09CC5-7992-4F84-BDB1-439509EF7C10}" presName="rootText3" presStyleLbl="asst3" presStyleIdx="1" presStyleCnt="2" custLinFactNeighborX="39289" custLinFactNeighborY="-40">
        <dgm:presLayoutVars>
          <dgm:chPref val="3"/>
        </dgm:presLayoutVars>
      </dgm:prSet>
      <dgm:spPr/>
      <dgm:t>
        <a:bodyPr/>
        <a:lstStyle/>
        <a:p>
          <a:endParaRPr lang="es-ES_tradnl"/>
        </a:p>
      </dgm:t>
    </dgm:pt>
    <dgm:pt modelId="{B084A575-3816-4C5F-8308-CD6EFCA453BB}" type="pres">
      <dgm:prSet presAssocID="{C4C09CC5-7992-4F84-BDB1-439509EF7C10}" presName="rootConnector3" presStyleLbl="asst3" presStyleIdx="1" presStyleCnt="2"/>
      <dgm:spPr/>
      <dgm:t>
        <a:bodyPr/>
        <a:lstStyle/>
        <a:p>
          <a:endParaRPr lang="es-ES_tradnl"/>
        </a:p>
      </dgm:t>
    </dgm:pt>
    <dgm:pt modelId="{50DE6578-C9BA-458C-A2C3-77072653F2E4}" type="pres">
      <dgm:prSet presAssocID="{C4C09CC5-7992-4F84-BDB1-439509EF7C10}" presName="hierChild6" presStyleCnt="0"/>
      <dgm:spPr/>
      <dgm:t>
        <a:bodyPr/>
        <a:lstStyle/>
        <a:p>
          <a:endParaRPr lang="es-ES_tradnl"/>
        </a:p>
      </dgm:t>
    </dgm:pt>
    <dgm:pt modelId="{F799ED5E-BF34-49CB-BA37-239FBEEE3183}" type="pres">
      <dgm:prSet presAssocID="{667F20D3-BA49-4BE0-9F62-DAEA31EB1A59}" presName="Name50" presStyleLbl="parChTrans1D4" presStyleIdx="10" presStyleCnt="13"/>
      <dgm:spPr/>
      <dgm:t>
        <a:bodyPr/>
        <a:lstStyle/>
        <a:p>
          <a:endParaRPr lang="es-ES_tradnl"/>
        </a:p>
      </dgm:t>
    </dgm:pt>
    <dgm:pt modelId="{CA9DB2F5-27FC-45EC-B69B-3C8B1E598409}" type="pres">
      <dgm:prSet presAssocID="{A4B3BFCC-315E-4E25-84E6-DB711C3C40FE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_tradnl"/>
        </a:p>
      </dgm:t>
    </dgm:pt>
    <dgm:pt modelId="{1906DAFD-3EF4-45F8-91B2-0F63F51CC8D9}" type="pres">
      <dgm:prSet presAssocID="{A4B3BFCC-315E-4E25-84E6-DB711C3C40FE}" presName="rootComposite" presStyleCnt="0"/>
      <dgm:spPr/>
      <dgm:t>
        <a:bodyPr/>
        <a:lstStyle/>
        <a:p>
          <a:endParaRPr lang="es-ES_tradnl"/>
        </a:p>
      </dgm:t>
    </dgm:pt>
    <dgm:pt modelId="{267CA20F-F556-496C-84B9-1982810C63DA}" type="pres">
      <dgm:prSet presAssocID="{A4B3BFCC-315E-4E25-84E6-DB711C3C40FE}" presName="rootText" presStyleLbl="node4" presStyleIdx="8" presStyleCnt="11">
        <dgm:presLayoutVars>
          <dgm:chPref val="3"/>
        </dgm:presLayoutVars>
      </dgm:prSet>
      <dgm:spPr/>
      <dgm:t>
        <a:bodyPr/>
        <a:lstStyle/>
        <a:p>
          <a:endParaRPr lang="es-ES_tradnl"/>
        </a:p>
      </dgm:t>
    </dgm:pt>
    <dgm:pt modelId="{1C9AFB65-91C5-421D-B231-8610CF45094B}" type="pres">
      <dgm:prSet presAssocID="{A4B3BFCC-315E-4E25-84E6-DB711C3C40FE}" presName="rootConnector" presStyleLbl="node4" presStyleIdx="8" presStyleCnt="11"/>
      <dgm:spPr/>
      <dgm:t>
        <a:bodyPr/>
        <a:lstStyle/>
        <a:p>
          <a:endParaRPr lang="es-ES_tradnl"/>
        </a:p>
      </dgm:t>
    </dgm:pt>
    <dgm:pt modelId="{7AA513DC-FA11-46E8-99CD-3009B2A0F580}" type="pres">
      <dgm:prSet presAssocID="{A4B3BFCC-315E-4E25-84E6-DB711C3C40FE}" presName="hierChild4" presStyleCnt="0"/>
      <dgm:spPr/>
      <dgm:t>
        <a:bodyPr/>
        <a:lstStyle/>
        <a:p>
          <a:endParaRPr lang="es-ES_tradnl"/>
        </a:p>
      </dgm:t>
    </dgm:pt>
    <dgm:pt modelId="{6A597BE9-D759-42B7-82AA-5214CC2D36E6}" type="pres">
      <dgm:prSet presAssocID="{A4B3BFCC-315E-4E25-84E6-DB711C3C40FE}" presName="hierChild5" presStyleCnt="0"/>
      <dgm:spPr/>
      <dgm:t>
        <a:bodyPr/>
        <a:lstStyle/>
        <a:p>
          <a:endParaRPr lang="es-ES_tradnl"/>
        </a:p>
      </dgm:t>
    </dgm:pt>
    <dgm:pt modelId="{489F442C-EA2D-4ADA-BB80-306B89C0112D}" type="pres">
      <dgm:prSet presAssocID="{74231CDD-B9EE-47E9-BB11-49B744EADC8A}" presName="Name50" presStyleLbl="parChTrans1D4" presStyleIdx="11" presStyleCnt="13"/>
      <dgm:spPr/>
      <dgm:t>
        <a:bodyPr/>
        <a:lstStyle/>
        <a:p>
          <a:endParaRPr lang="es-ES_tradnl"/>
        </a:p>
      </dgm:t>
    </dgm:pt>
    <dgm:pt modelId="{BE48593F-0B04-4E6D-889F-A6F87A94EC91}" type="pres">
      <dgm:prSet presAssocID="{94EC6D3E-5BAA-45A5-A274-945D95BCBB3F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_tradnl"/>
        </a:p>
      </dgm:t>
    </dgm:pt>
    <dgm:pt modelId="{BB9D08F7-E19C-42C0-9D30-E5F901232EF5}" type="pres">
      <dgm:prSet presAssocID="{94EC6D3E-5BAA-45A5-A274-945D95BCBB3F}" presName="rootComposite" presStyleCnt="0"/>
      <dgm:spPr/>
      <dgm:t>
        <a:bodyPr/>
        <a:lstStyle/>
        <a:p>
          <a:endParaRPr lang="es-ES_tradnl"/>
        </a:p>
      </dgm:t>
    </dgm:pt>
    <dgm:pt modelId="{3159B44B-DFEE-4020-8626-0757DE3FB289}" type="pres">
      <dgm:prSet presAssocID="{94EC6D3E-5BAA-45A5-A274-945D95BCBB3F}" presName="rootText" presStyleLbl="node4" presStyleIdx="9" presStyleCnt="11">
        <dgm:presLayoutVars>
          <dgm:chPref val="3"/>
        </dgm:presLayoutVars>
      </dgm:prSet>
      <dgm:spPr/>
      <dgm:t>
        <a:bodyPr/>
        <a:lstStyle/>
        <a:p>
          <a:endParaRPr lang="es-ES_tradnl"/>
        </a:p>
      </dgm:t>
    </dgm:pt>
    <dgm:pt modelId="{D14472AB-3F54-4EDE-9773-B60027C773C2}" type="pres">
      <dgm:prSet presAssocID="{94EC6D3E-5BAA-45A5-A274-945D95BCBB3F}" presName="rootConnector" presStyleLbl="node4" presStyleIdx="9" presStyleCnt="11"/>
      <dgm:spPr/>
      <dgm:t>
        <a:bodyPr/>
        <a:lstStyle/>
        <a:p>
          <a:endParaRPr lang="es-ES_tradnl"/>
        </a:p>
      </dgm:t>
    </dgm:pt>
    <dgm:pt modelId="{B8F39111-9AE8-47EB-B660-A835173D6435}" type="pres">
      <dgm:prSet presAssocID="{94EC6D3E-5BAA-45A5-A274-945D95BCBB3F}" presName="hierChild4" presStyleCnt="0"/>
      <dgm:spPr/>
      <dgm:t>
        <a:bodyPr/>
        <a:lstStyle/>
        <a:p>
          <a:endParaRPr lang="es-ES_tradnl"/>
        </a:p>
      </dgm:t>
    </dgm:pt>
    <dgm:pt modelId="{C42DBF2C-78E1-454D-8586-B7A4463A235F}" type="pres">
      <dgm:prSet presAssocID="{94EC6D3E-5BAA-45A5-A274-945D95BCBB3F}" presName="hierChild5" presStyleCnt="0"/>
      <dgm:spPr/>
      <dgm:t>
        <a:bodyPr/>
        <a:lstStyle/>
        <a:p>
          <a:endParaRPr lang="es-ES_tradnl"/>
        </a:p>
      </dgm:t>
    </dgm:pt>
    <dgm:pt modelId="{2EA5F917-B10B-42CA-B0D1-1B4B173E61B9}" type="pres">
      <dgm:prSet presAssocID="{F473E09F-683E-4465-B250-E76F7FB6676D}" presName="Name50" presStyleLbl="parChTrans1D4" presStyleIdx="12" presStyleCnt="13"/>
      <dgm:spPr/>
      <dgm:t>
        <a:bodyPr/>
        <a:lstStyle/>
        <a:p>
          <a:endParaRPr lang="es-ES_tradnl"/>
        </a:p>
      </dgm:t>
    </dgm:pt>
    <dgm:pt modelId="{EE2A6D14-597F-46A7-9955-95CC8AC1C2C7}" type="pres">
      <dgm:prSet presAssocID="{F8A0CCC5-4FBB-4110-ABC0-334660C69E12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_tradnl"/>
        </a:p>
      </dgm:t>
    </dgm:pt>
    <dgm:pt modelId="{4E4BC46F-FB3C-44C2-AC16-70C745D26F30}" type="pres">
      <dgm:prSet presAssocID="{F8A0CCC5-4FBB-4110-ABC0-334660C69E12}" presName="rootComposite" presStyleCnt="0"/>
      <dgm:spPr/>
      <dgm:t>
        <a:bodyPr/>
        <a:lstStyle/>
        <a:p>
          <a:endParaRPr lang="es-ES_tradnl"/>
        </a:p>
      </dgm:t>
    </dgm:pt>
    <dgm:pt modelId="{F81D7899-7923-4044-874C-9EA79256BDAF}" type="pres">
      <dgm:prSet presAssocID="{F8A0CCC5-4FBB-4110-ABC0-334660C69E12}" presName="rootText" presStyleLbl="node4" presStyleIdx="10" presStyleCnt="11">
        <dgm:presLayoutVars>
          <dgm:chPref val="3"/>
        </dgm:presLayoutVars>
      </dgm:prSet>
      <dgm:spPr/>
      <dgm:t>
        <a:bodyPr/>
        <a:lstStyle/>
        <a:p>
          <a:endParaRPr lang="es-ES_tradnl"/>
        </a:p>
      </dgm:t>
    </dgm:pt>
    <dgm:pt modelId="{B50A99E5-1A09-425B-A354-B66B16B4F615}" type="pres">
      <dgm:prSet presAssocID="{F8A0CCC5-4FBB-4110-ABC0-334660C69E12}" presName="rootConnector" presStyleLbl="node4" presStyleIdx="10" presStyleCnt="11"/>
      <dgm:spPr/>
      <dgm:t>
        <a:bodyPr/>
        <a:lstStyle/>
        <a:p>
          <a:endParaRPr lang="es-ES_tradnl"/>
        </a:p>
      </dgm:t>
    </dgm:pt>
    <dgm:pt modelId="{FE2CAF00-F837-4020-B67E-AA3ED3F1F528}" type="pres">
      <dgm:prSet presAssocID="{F8A0CCC5-4FBB-4110-ABC0-334660C69E12}" presName="hierChild4" presStyleCnt="0"/>
      <dgm:spPr/>
      <dgm:t>
        <a:bodyPr/>
        <a:lstStyle/>
        <a:p>
          <a:endParaRPr lang="es-ES_tradnl"/>
        </a:p>
      </dgm:t>
    </dgm:pt>
    <dgm:pt modelId="{7F25DA91-20A2-4B26-87D3-613DECC352FE}" type="pres">
      <dgm:prSet presAssocID="{F8A0CCC5-4FBB-4110-ABC0-334660C69E12}" presName="hierChild5" presStyleCnt="0"/>
      <dgm:spPr/>
      <dgm:t>
        <a:bodyPr/>
        <a:lstStyle/>
        <a:p>
          <a:endParaRPr lang="es-ES_tradnl"/>
        </a:p>
      </dgm:t>
    </dgm:pt>
    <dgm:pt modelId="{86D00E76-5BB2-4106-B634-250CC9CE85E2}" type="pres">
      <dgm:prSet presAssocID="{C4C09CC5-7992-4F84-BDB1-439509EF7C10}" presName="hierChild7" presStyleCnt="0"/>
      <dgm:spPr/>
      <dgm:t>
        <a:bodyPr/>
        <a:lstStyle/>
        <a:p>
          <a:endParaRPr lang="es-ES_tradnl"/>
        </a:p>
      </dgm:t>
    </dgm:pt>
    <dgm:pt modelId="{8FEC3891-4C53-49F3-BB80-C9A32CDD9F5E}" type="pres">
      <dgm:prSet presAssocID="{5BCA529F-93C9-4569-BF71-845356CDD3F7}" presName="hierChild5" presStyleCnt="0"/>
      <dgm:spPr/>
      <dgm:t>
        <a:bodyPr/>
        <a:lstStyle/>
        <a:p>
          <a:endParaRPr lang="es-ES_tradnl"/>
        </a:p>
      </dgm:t>
    </dgm:pt>
    <dgm:pt modelId="{874DEA8C-4F54-4FB1-95CA-CBD6E43AC5DE}" type="pres">
      <dgm:prSet presAssocID="{FDEC69F6-C3D8-4E69-947B-0C5B7E8B7A04}" presName="hierChild3" presStyleCnt="0"/>
      <dgm:spPr/>
      <dgm:t>
        <a:bodyPr/>
        <a:lstStyle/>
        <a:p>
          <a:endParaRPr lang="es-ES_tradnl"/>
        </a:p>
      </dgm:t>
    </dgm:pt>
  </dgm:ptLst>
  <dgm:cxnLst>
    <dgm:cxn modelId="{50EA8A94-D50E-4CD8-AB69-F98DDC3C70C8}" type="presOf" srcId="{94EC6D3E-5BAA-45A5-A274-945D95BCBB3F}" destId="{3159B44B-DFEE-4020-8626-0757DE3FB289}" srcOrd="0" destOrd="0" presId="urn:microsoft.com/office/officeart/2005/8/layout/orgChart1"/>
    <dgm:cxn modelId="{FA3BD706-EBE0-455D-8FB8-FB74B2D52D28}" srcId="{0161ED3D-CF23-436B-807A-05A0D38F5EA7}" destId="{146A2BB3-1FB5-484C-A237-A341A3CCF0B5}" srcOrd="4" destOrd="0" parTransId="{55DB263B-2931-40ED-87BE-711767DBCAFE}" sibTransId="{7F87DFCA-2B19-473D-AA6C-5658CE3B7781}"/>
    <dgm:cxn modelId="{9B7CA496-7839-404F-B3EE-DC106697AE1F}" type="presOf" srcId="{8C86214E-014E-480A-BBBC-6F5E2B2BEE38}" destId="{DC291BEE-FFBC-4344-9224-1DD0AD18DFF6}" srcOrd="0" destOrd="0" presId="urn:microsoft.com/office/officeart/2005/8/layout/orgChart1"/>
    <dgm:cxn modelId="{6ED06E48-0429-42C9-A3C3-64F255BFD6EB}" srcId="{C4C09CC5-7992-4F84-BDB1-439509EF7C10}" destId="{F8A0CCC5-4FBB-4110-ABC0-334660C69E12}" srcOrd="2" destOrd="0" parTransId="{F473E09F-683E-4465-B250-E76F7FB6676D}" sibTransId="{0D390FFF-401D-413D-9C75-39F5437385F3}"/>
    <dgm:cxn modelId="{0E4387BA-B3F1-475B-9107-2D7FDF5A5FE7}" srcId="{C4C09CC5-7992-4F84-BDB1-439509EF7C10}" destId="{A4B3BFCC-315E-4E25-84E6-DB711C3C40FE}" srcOrd="0" destOrd="0" parTransId="{667F20D3-BA49-4BE0-9F62-DAEA31EB1A59}" sibTransId="{AA56F3A3-6FC0-4E75-9891-65BA592D83D1}"/>
    <dgm:cxn modelId="{644306B6-D644-442A-A3FA-7917D6B40569}" type="presOf" srcId="{5BCA529F-93C9-4569-BF71-845356CDD3F7}" destId="{4EC53F41-382F-429A-8A5A-E2C4DBF92994}" srcOrd="0" destOrd="0" presId="urn:microsoft.com/office/officeart/2005/8/layout/orgChart1"/>
    <dgm:cxn modelId="{60E12D11-8936-498E-9C90-3A9E0A457F46}" srcId="{75DCB31F-7D81-4FC5-8051-FBA8D77E480F}" destId="{0161ED3D-CF23-436B-807A-05A0D38F5EA7}" srcOrd="0" destOrd="0" parTransId="{50F7370B-755E-4E99-8BD2-9BC074C05D3E}" sibTransId="{4904FE7D-833B-49A3-A723-E8EF7F02788B}"/>
    <dgm:cxn modelId="{06E8733A-C150-4144-A943-8D272321AD0B}" type="presOf" srcId="{5CE7AC3B-4298-4979-8C6B-7731F966ED16}" destId="{4557E7E8-9724-45F3-A30D-F180BDE5491A}" srcOrd="0" destOrd="0" presId="urn:microsoft.com/office/officeart/2005/8/layout/orgChart1"/>
    <dgm:cxn modelId="{F00366B9-3608-4F74-8541-7D498CD5DBE8}" type="presOf" srcId="{00E2CBC2-1AF8-4911-86DD-0AF3115DE389}" destId="{060441DC-0A7D-4FE5-9F9C-D3BDE4D1CCCC}" srcOrd="1" destOrd="0" presId="urn:microsoft.com/office/officeart/2005/8/layout/orgChart1"/>
    <dgm:cxn modelId="{733B9033-C0D3-4A31-A7AD-2B363D87F9EF}" srcId="{0161ED3D-CF23-436B-807A-05A0D38F5EA7}" destId="{1C6A7EAC-27CE-4763-ACA5-538B80CB8A65}" srcOrd="5" destOrd="0" parTransId="{EAC5D0B0-D7F8-4808-BD66-5AC21EE6EBCC}" sibTransId="{CFE6EBC1-A8B3-4C81-8C1D-AC4099EDC53F}"/>
    <dgm:cxn modelId="{61B22140-93E2-4AFC-8BAE-359BE095B062}" srcId="{75DCB31F-7D81-4FC5-8051-FBA8D77E480F}" destId="{C4C09CC5-7992-4F84-BDB1-439509EF7C10}" srcOrd="1" destOrd="0" parTransId="{E74559DE-5C4A-489D-9C17-2A5C3524EA27}" sibTransId="{C24BE910-0F1C-4BE0-9CAD-C04864E3FD04}"/>
    <dgm:cxn modelId="{2943BA40-7AFE-4390-99A2-3033DF82CE6C}" type="presOf" srcId="{A4B3BFCC-315E-4E25-84E6-DB711C3C40FE}" destId="{1C9AFB65-91C5-421D-B231-8610CF45094B}" srcOrd="1" destOrd="0" presId="urn:microsoft.com/office/officeart/2005/8/layout/orgChart1"/>
    <dgm:cxn modelId="{AE387336-C998-4170-A128-DF040349FA3D}" type="presOf" srcId="{00E2CBC2-1AF8-4911-86DD-0AF3115DE389}" destId="{2FEB2CF7-B2A6-43E7-9675-117009245ACF}" srcOrd="0" destOrd="0" presId="urn:microsoft.com/office/officeart/2005/8/layout/orgChart1"/>
    <dgm:cxn modelId="{1ACF5087-C4C0-45AB-8C49-4D9A155DA84F}" type="presOf" srcId="{C4C09CC5-7992-4F84-BDB1-439509EF7C10}" destId="{C73FD368-35B6-4065-BF97-2C8D62881A19}" srcOrd="0" destOrd="0" presId="urn:microsoft.com/office/officeart/2005/8/layout/orgChart1"/>
    <dgm:cxn modelId="{7B81383F-D6A2-4E51-B405-2026C7BDA722}" srcId="{0161ED3D-CF23-436B-807A-05A0D38F5EA7}" destId="{B6D41BAF-67E0-4826-B15C-D59789B3F5CE}" srcOrd="2" destOrd="0" parTransId="{FD586DC0-9A34-490B-88FA-55961861CA48}" sibTransId="{4889BD7C-FC0B-49FA-A507-B70470F4433C}"/>
    <dgm:cxn modelId="{48F090DD-C5CB-4C08-81E6-B058B804CB2A}" type="presOf" srcId="{146A2BB3-1FB5-484C-A237-A341A3CCF0B5}" destId="{5B7D4BAC-BE56-408A-AAA2-BAB13D95CB66}" srcOrd="1" destOrd="0" presId="urn:microsoft.com/office/officeart/2005/8/layout/orgChart1"/>
    <dgm:cxn modelId="{BAD299AF-2C0D-49DF-BCEA-7ECC937B3105}" type="presOf" srcId="{1C6A7EAC-27CE-4763-ACA5-538B80CB8A65}" destId="{B4423A37-501E-49EB-B63F-808CD4E098FC}" srcOrd="0" destOrd="0" presId="urn:microsoft.com/office/officeart/2005/8/layout/orgChart1"/>
    <dgm:cxn modelId="{6ADEB8B3-B4AB-45D0-A25B-F5F2574795D1}" type="presOf" srcId="{75DCB31F-7D81-4FC5-8051-FBA8D77E480F}" destId="{E7F8B899-445C-4E8C-9710-31D46A51F473}" srcOrd="0" destOrd="0" presId="urn:microsoft.com/office/officeart/2005/8/layout/orgChart1"/>
    <dgm:cxn modelId="{62864AE9-3A0F-41BE-8D38-90475D6D6DDB}" type="presOf" srcId="{C4C09CC5-7992-4F84-BDB1-439509EF7C10}" destId="{B084A575-3816-4C5F-8308-CD6EFCA453BB}" srcOrd="1" destOrd="0" presId="urn:microsoft.com/office/officeart/2005/8/layout/orgChart1"/>
    <dgm:cxn modelId="{0A658786-B996-4734-B673-B5169E161BBA}" type="presOf" srcId="{FBD6FEBC-257C-4422-9B87-4CC5E7D6DB4F}" destId="{A5E2AF8E-CB6D-42AD-9865-A1F7D7E7CB9D}" srcOrd="0" destOrd="0" presId="urn:microsoft.com/office/officeart/2005/8/layout/orgChart1"/>
    <dgm:cxn modelId="{5AF84A83-F53F-4F27-9B0F-162F9CD421B0}" srcId="{FDEC69F6-C3D8-4E69-947B-0C5B7E8B7A04}" destId="{5BCA529F-93C9-4569-BF71-845356CDD3F7}" srcOrd="0" destOrd="0" parTransId="{41236E9A-073F-4D23-A5F4-DF190BF89B9A}" sibTransId="{216BEE21-2A5D-4AAA-BC5C-C46A619C8FCE}"/>
    <dgm:cxn modelId="{0A4B401A-0368-4EE9-B054-16E781F7E78B}" type="presOf" srcId="{0161ED3D-CF23-436B-807A-05A0D38F5EA7}" destId="{573B90CF-0D06-412D-8736-E86079853E6B}" srcOrd="1" destOrd="0" presId="urn:microsoft.com/office/officeart/2005/8/layout/orgChart1"/>
    <dgm:cxn modelId="{7C26B0BD-EA15-4611-90F2-9F8B92486F8B}" type="presOf" srcId="{E74559DE-5C4A-489D-9C17-2A5C3524EA27}" destId="{36083C5F-EBE1-48EB-B0FB-FE0FA5952037}" srcOrd="0" destOrd="0" presId="urn:microsoft.com/office/officeart/2005/8/layout/orgChart1"/>
    <dgm:cxn modelId="{EFCD5A77-BDD9-4DEC-9BC6-98684C8F8F97}" type="presOf" srcId="{BBB91B83-F582-4929-8B2B-85A162409842}" destId="{C0BDF922-862D-4D0D-90A4-A0CF02D05360}" srcOrd="1" destOrd="0" presId="urn:microsoft.com/office/officeart/2005/8/layout/orgChart1"/>
    <dgm:cxn modelId="{F841B01A-BCF1-4BCE-B0BD-5BF8EDCBF809}" type="presOf" srcId="{74231CDD-B9EE-47E9-BB11-49B744EADC8A}" destId="{489F442C-EA2D-4ADA-BB80-306B89C0112D}" srcOrd="0" destOrd="0" presId="urn:microsoft.com/office/officeart/2005/8/layout/orgChart1"/>
    <dgm:cxn modelId="{8096D242-293E-435F-86F7-BEBA3EC7DD55}" type="presOf" srcId="{75DCB31F-7D81-4FC5-8051-FBA8D77E480F}" destId="{BDD1CDC9-C022-4E2D-A0C8-6D71B7D0734A}" srcOrd="1" destOrd="0" presId="urn:microsoft.com/office/officeart/2005/8/layout/orgChart1"/>
    <dgm:cxn modelId="{40569F20-0E1D-4298-BA72-37A31644871D}" type="presOf" srcId="{55DB263B-2931-40ED-87BE-711767DBCAFE}" destId="{76922577-CB33-4FE7-AB61-25FC23986BCF}" srcOrd="0" destOrd="0" presId="urn:microsoft.com/office/officeart/2005/8/layout/orgChart1"/>
    <dgm:cxn modelId="{CA4794DD-DBA0-49B1-888F-7CAC9C8410AD}" srcId="{0161ED3D-CF23-436B-807A-05A0D38F5EA7}" destId="{5CE7AC3B-4298-4979-8C6B-7731F966ED16}" srcOrd="6" destOrd="0" parTransId="{B453E9D3-CBEA-475C-9EBB-5BC3D66C96C3}" sibTransId="{DC18F664-DF8A-40DE-9508-06D2F46A9173}"/>
    <dgm:cxn modelId="{286A77F4-A946-42CF-A52A-A30B46883CDB}" type="presOf" srcId="{F8A0CCC5-4FBB-4110-ABC0-334660C69E12}" destId="{F81D7899-7923-4044-874C-9EA79256BDAF}" srcOrd="0" destOrd="0" presId="urn:microsoft.com/office/officeart/2005/8/layout/orgChart1"/>
    <dgm:cxn modelId="{0AD71249-DF20-451A-866B-088C51939DA8}" type="presOf" srcId="{F8A0CCC5-4FBB-4110-ABC0-334660C69E12}" destId="{B50A99E5-1A09-425B-A354-B66B16B4F615}" srcOrd="1" destOrd="0" presId="urn:microsoft.com/office/officeart/2005/8/layout/orgChart1"/>
    <dgm:cxn modelId="{0DED0A94-F09C-4408-8A3F-4CBC312ABFD6}" type="presOf" srcId="{667F20D3-BA49-4BE0-9F62-DAEA31EB1A59}" destId="{F799ED5E-BF34-49CB-BA37-239FBEEE3183}" srcOrd="0" destOrd="0" presId="urn:microsoft.com/office/officeart/2005/8/layout/orgChart1"/>
    <dgm:cxn modelId="{0B4DBE9C-C6C2-4ACC-9AC5-3BC802C8AC10}" type="presOf" srcId="{FDEC69F6-C3D8-4E69-947B-0C5B7E8B7A04}" destId="{24EC72DA-6A70-4063-8B3E-44C442CC15E5}" srcOrd="1" destOrd="0" presId="urn:microsoft.com/office/officeart/2005/8/layout/orgChart1"/>
    <dgm:cxn modelId="{75B26AA8-BB19-4859-B32C-5D4D29126A13}" type="presOf" srcId="{41236E9A-073F-4D23-A5F4-DF190BF89B9A}" destId="{ACBFD0EA-9363-46F0-872B-3F3BEBEA0696}" srcOrd="0" destOrd="0" presId="urn:microsoft.com/office/officeart/2005/8/layout/orgChart1"/>
    <dgm:cxn modelId="{C0C87618-F458-4DF7-BFD4-0949B2DD0C76}" type="presOf" srcId="{A92DD7D3-42F5-4A83-9CCD-FDD86C74842F}" destId="{832906AF-693C-4520-8C4C-5C9E659F74D5}" srcOrd="0" destOrd="0" presId="urn:microsoft.com/office/officeart/2005/8/layout/orgChart1"/>
    <dgm:cxn modelId="{0D0A12EE-A493-4147-A2F2-3240B7B74EF4}" type="presOf" srcId="{B6D41BAF-67E0-4826-B15C-D59789B3F5CE}" destId="{9D70EEB4-6A4C-40C0-BA80-A8E2A07BE67B}" srcOrd="0" destOrd="0" presId="urn:microsoft.com/office/officeart/2005/8/layout/orgChart1"/>
    <dgm:cxn modelId="{88E10A88-254B-4C60-804E-EE16A1141D38}" srcId="{B98CC36E-D1E4-47A9-B15A-74A1CF28F84C}" destId="{FDEC69F6-C3D8-4E69-947B-0C5B7E8B7A04}" srcOrd="0" destOrd="0" parTransId="{56081D8D-D64F-467A-8DC0-184C00BB24FA}" sibTransId="{D0FF47D7-E4C6-4E45-B35E-46680264731C}"/>
    <dgm:cxn modelId="{A117B41C-161D-44CF-B8D4-07ED9E2A977A}" type="presOf" srcId="{FBD6FEBC-257C-4422-9B87-4CC5E7D6DB4F}" destId="{936C0F5E-370B-4ACD-8F1D-DE6B78319386}" srcOrd="1" destOrd="0" presId="urn:microsoft.com/office/officeart/2005/8/layout/orgChart1"/>
    <dgm:cxn modelId="{9AD0B4AF-309E-4FF7-9807-788122E24676}" type="presOf" srcId="{A92DD7D3-42F5-4A83-9CCD-FDD86C74842F}" destId="{C77C9BCB-7E9D-44AA-9A55-007B3AF9EE3D}" srcOrd="1" destOrd="0" presId="urn:microsoft.com/office/officeart/2005/8/layout/orgChart1"/>
    <dgm:cxn modelId="{396E018F-D209-4EF0-9E59-3577042FB4B9}" type="presOf" srcId="{94EC6D3E-5BAA-45A5-A274-945D95BCBB3F}" destId="{D14472AB-3F54-4EDE-9773-B60027C773C2}" srcOrd="1" destOrd="0" presId="urn:microsoft.com/office/officeart/2005/8/layout/orgChart1"/>
    <dgm:cxn modelId="{8A37407C-C45D-45E5-87D9-8A3BD741C7C7}" type="presOf" srcId="{F8CA2F3E-C76E-498D-9A96-F58810A35481}" destId="{7718DBF1-9241-4E84-B84C-1BCE55D33C86}" srcOrd="0" destOrd="0" presId="urn:microsoft.com/office/officeart/2005/8/layout/orgChart1"/>
    <dgm:cxn modelId="{B1772432-3DF9-4B06-A869-3460C8E45B52}" type="presOf" srcId="{F473E09F-683E-4465-B250-E76F7FB6676D}" destId="{2EA5F917-B10B-42CA-B0D1-1B4B173E61B9}" srcOrd="0" destOrd="0" presId="urn:microsoft.com/office/officeart/2005/8/layout/orgChart1"/>
    <dgm:cxn modelId="{FC2FECB3-F7C5-49E7-B7A6-58485DDFCF9A}" type="presOf" srcId="{A4B3BFCC-315E-4E25-84E6-DB711C3C40FE}" destId="{267CA20F-F556-496C-84B9-1982810C63DA}" srcOrd="0" destOrd="0" presId="urn:microsoft.com/office/officeart/2005/8/layout/orgChart1"/>
    <dgm:cxn modelId="{A2A4AF30-4626-4991-B5D0-0CA1766DDF4A}" type="presOf" srcId="{2010DC0D-6058-4018-9B35-0EFFB4DC44E0}" destId="{ED59254E-DE00-41F2-8B6E-BCD8A484E516}" srcOrd="0" destOrd="0" presId="urn:microsoft.com/office/officeart/2005/8/layout/orgChart1"/>
    <dgm:cxn modelId="{FCD5DC7C-4D5B-41C7-A786-C054EBDE5A7F}" srcId="{C4C09CC5-7992-4F84-BDB1-439509EF7C10}" destId="{94EC6D3E-5BAA-45A5-A274-945D95BCBB3F}" srcOrd="1" destOrd="0" parTransId="{74231CDD-B9EE-47E9-BB11-49B744EADC8A}" sibTransId="{DA94412F-97FF-4FC3-B9D9-5AF6B8300A7B}"/>
    <dgm:cxn modelId="{E51B5A8B-E564-4924-A635-350B5D586168}" srcId="{0161ED3D-CF23-436B-807A-05A0D38F5EA7}" destId="{A92DD7D3-42F5-4A83-9CCD-FDD86C74842F}" srcOrd="3" destOrd="0" parTransId="{4511A9DD-6810-43FA-8EC4-C65589027D44}" sibTransId="{04A45871-4844-48F7-945D-9C72FDCF9480}"/>
    <dgm:cxn modelId="{A644D693-EF51-43F8-BD8C-F61A667E5F6F}" type="presOf" srcId="{5BCA529F-93C9-4569-BF71-845356CDD3F7}" destId="{8557A0FA-67E7-49D8-91AC-AF5DD1527461}" srcOrd="1" destOrd="0" presId="urn:microsoft.com/office/officeart/2005/8/layout/orgChart1"/>
    <dgm:cxn modelId="{7054A196-ADF0-4FFD-AB25-8E4C6605F24C}" type="presOf" srcId="{50F7370B-755E-4E99-8BD2-9BC074C05D3E}" destId="{F68E954B-3771-408C-872C-353A63805C2B}" srcOrd="0" destOrd="0" presId="urn:microsoft.com/office/officeart/2005/8/layout/orgChart1"/>
    <dgm:cxn modelId="{26CA12CA-5FBB-454B-917D-2CCB550EF45B}" srcId="{5BCA529F-93C9-4569-BF71-845356CDD3F7}" destId="{75DCB31F-7D81-4FC5-8051-FBA8D77E480F}" srcOrd="0" destOrd="0" parTransId="{F8CA2F3E-C76E-498D-9A96-F58810A35481}" sibTransId="{56A4641B-4A1E-4352-9C51-C4C225BC2A9E}"/>
    <dgm:cxn modelId="{9A3C82F5-60D1-4454-8479-5F9DCBCCE9EE}" type="presOf" srcId="{5CE7AC3B-4298-4979-8C6B-7731F966ED16}" destId="{F267E391-CDB4-49D1-93EF-2710FBAA19AA}" srcOrd="1" destOrd="0" presId="urn:microsoft.com/office/officeart/2005/8/layout/orgChart1"/>
    <dgm:cxn modelId="{7C6B5939-3368-4946-9987-D0057BB3F0DB}" type="presOf" srcId="{BBB91B83-F582-4929-8B2B-85A162409842}" destId="{DC50E6FA-D69A-4B2E-9BAB-56B680118908}" srcOrd="0" destOrd="0" presId="urn:microsoft.com/office/officeart/2005/8/layout/orgChart1"/>
    <dgm:cxn modelId="{25099295-C21C-49B8-9D79-CD881AF96598}" type="presOf" srcId="{B6D41BAF-67E0-4826-B15C-D59789B3F5CE}" destId="{4E430C33-EE76-4E5C-B09F-23DE9D40ECC4}" srcOrd="1" destOrd="0" presId="urn:microsoft.com/office/officeart/2005/8/layout/orgChart1"/>
    <dgm:cxn modelId="{7E06497C-D853-4E09-81AE-2EEDAAC77D49}" type="presOf" srcId="{146A2BB3-1FB5-484C-A237-A341A3CCF0B5}" destId="{2782AB8A-BDF0-4F0B-A499-278A94D9EC34}" srcOrd="0" destOrd="0" presId="urn:microsoft.com/office/officeart/2005/8/layout/orgChart1"/>
    <dgm:cxn modelId="{1CAA822A-52B5-40A7-BEFC-E10C61D040EB}" srcId="{0161ED3D-CF23-436B-807A-05A0D38F5EA7}" destId="{00E2CBC2-1AF8-4911-86DD-0AF3115DE389}" srcOrd="1" destOrd="0" parTransId="{8C86214E-014E-480A-BBBC-6F5E2B2BEE38}" sibTransId="{C68DD817-2682-4FF2-BF4B-4C71D946F84E}"/>
    <dgm:cxn modelId="{1D0652E5-278D-474F-B058-79DDFE64F5B7}" type="presOf" srcId="{0161ED3D-CF23-436B-807A-05A0D38F5EA7}" destId="{19896AAB-86BB-4877-BD04-2BBF12A4C816}" srcOrd="0" destOrd="0" presId="urn:microsoft.com/office/officeart/2005/8/layout/orgChart1"/>
    <dgm:cxn modelId="{47832A1E-C4A1-4E60-B445-13107942DF0F}" type="presOf" srcId="{B453E9D3-CBEA-475C-9EBB-5BC3D66C96C3}" destId="{233741F9-A8E4-47DE-A451-0C8DA3D85510}" srcOrd="0" destOrd="0" presId="urn:microsoft.com/office/officeart/2005/8/layout/orgChart1"/>
    <dgm:cxn modelId="{9B1FA806-7411-41AD-89FA-4FE48AB9EC31}" type="presOf" srcId="{FDEC69F6-C3D8-4E69-947B-0C5B7E8B7A04}" destId="{929B2D5F-7B3E-48AD-A8B9-5AF54643F577}" srcOrd="0" destOrd="0" presId="urn:microsoft.com/office/officeart/2005/8/layout/orgChart1"/>
    <dgm:cxn modelId="{138D789B-6443-4F7D-9627-419C3D46E925}" type="presOf" srcId="{1C6A7EAC-27CE-4763-ACA5-538B80CB8A65}" destId="{278B3F1F-7701-4757-BF5A-480DFF3933EC}" srcOrd="1" destOrd="0" presId="urn:microsoft.com/office/officeart/2005/8/layout/orgChart1"/>
    <dgm:cxn modelId="{4B991B4A-E9E0-4674-A6E9-BD28A0F7DBA5}" type="presOf" srcId="{4511A9DD-6810-43FA-8EC4-C65589027D44}" destId="{E2F98020-2497-4A89-B5EE-1DAB27A9D598}" srcOrd="0" destOrd="0" presId="urn:microsoft.com/office/officeart/2005/8/layout/orgChart1"/>
    <dgm:cxn modelId="{E6227574-B1BE-4EFA-B22D-4DF200C500E2}" srcId="{0161ED3D-CF23-436B-807A-05A0D38F5EA7}" destId="{BBB91B83-F582-4929-8B2B-85A162409842}" srcOrd="7" destOrd="0" parTransId="{2010DC0D-6058-4018-9B35-0EFFB4DC44E0}" sibTransId="{458AC288-F7B9-45FD-9504-1C488F950C48}"/>
    <dgm:cxn modelId="{9154CC64-2EDF-425A-85E1-CB4C394038F7}" type="presOf" srcId="{EAC5D0B0-D7F8-4808-BD66-5AC21EE6EBCC}" destId="{DD53F6F6-34AC-4D04-91A5-B362C0066CEB}" srcOrd="0" destOrd="0" presId="urn:microsoft.com/office/officeart/2005/8/layout/orgChart1"/>
    <dgm:cxn modelId="{EDE5D6BF-2AD6-46B4-8C09-8EF8275FB5DC}" type="presOf" srcId="{B353A672-CACE-450E-88A8-D855E82DD4B1}" destId="{8953E43A-29AD-4873-82BB-82D98A165E39}" srcOrd="0" destOrd="0" presId="urn:microsoft.com/office/officeart/2005/8/layout/orgChart1"/>
    <dgm:cxn modelId="{53CC66E2-D172-446D-8A64-D0348F33E1D9}" type="presOf" srcId="{B98CC36E-D1E4-47A9-B15A-74A1CF28F84C}" destId="{92F4AF1C-F294-4F83-BB2F-408E5AA15ECA}" srcOrd="0" destOrd="0" presId="urn:microsoft.com/office/officeart/2005/8/layout/orgChart1"/>
    <dgm:cxn modelId="{26939004-7E3A-4A28-9377-231A6A3E01E9}" type="presOf" srcId="{FD586DC0-9A34-490B-88FA-55961861CA48}" destId="{48CA259A-E870-48F0-B163-1E49E71BE027}" srcOrd="0" destOrd="0" presId="urn:microsoft.com/office/officeart/2005/8/layout/orgChart1"/>
    <dgm:cxn modelId="{D86F0A73-D15F-4E4B-A24D-21DE706B8D44}" srcId="{0161ED3D-CF23-436B-807A-05A0D38F5EA7}" destId="{FBD6FEBC-257C-4422-9B87-4CC5E7D6DB4F}" srcOrd="0" destOrd="0" parTransId="{B353A672-CACE-450E-88A8-D855E82DD4B1}" sibTransId="{A07619AE-FF7F-4846-96D4-DA787605477C}"/>
    <dgm:cxn modelId="{66CEF045-EF78-4300-90BE-907BAF863C57}" type="presParOf" srcId="{92F4AF1C-F294-4F83-BB2F-408E5AA15ECA}" destId="{DC65ED71-EF63-4B16-979A-1DCC2EDCEC05}" srcOrd="0" destOrd="0" presId="urn:microsoft.com/office/officeart/2005/8/layout/orgChart1"/>
    <dgm:cxn modelId="{26924939-AF56-4A67-8048-BD4478A4EC7C}" type="presParOf" srcId="{DC65ED71-EF63-4B16-979A-1DCC2EDCEC05}" destId="{47EBFD7B-B700-48DB-882D-961680DCBDC2}" srcOrd="0" destOrd="0" presId="urn:microsoft.com/office/officeart/2005/8/layout/orgChart1"/>
    <dgm:cxn modelId="{4ED88B0B-22C7-483B-AD39-E05FE527B7B0}" type="presParOf" srcId="{47EBFD7B-B700-48DB-882D-961680DCBDC2}" destId="{929B2D5F-7B3E-48AD-A8B9-5AF54643F577}" srcOrd="0" destOrd="0" presId="urn:microsoft.com/office/officeart/2005/8/layout/orgChart1"/>
    <dgm:cxn modelId="{B7DDC595-01E5-4C92-8F4F-317231241AF6}" type="presParOf" srcId="{47EBFD7B-B700-48DB-882D-961680DCBDC2}" destId="{24EC72DA-6A70-4063-8B3E-44C442CC15E5}" srcOrd="1" destOrd="0" presId="urn:microsoft.com/office/officeart/2005/8/layout/orgChart1"/>
    <dgm:cxn modelId="{B24AC8DE-BBA4-4F36-92BC-301416FF471A}" type="presParOf" srcId="{DC65ED71-EF63-4B16-979A-1DCC2EDCEC05}" destId="{62FA570C-1D49-4DA9-99B2-B68E3B7120C4}" srcOrd="1" destOrd="0" presId="urn:microsoft.com/office/officeart/2005/8/layout/orgChart1"/>
    <dgm:cxn modelId="{6BFC6EAA-1066-4F05-BEB5-D17EF559D0F2}" type="presParOf" srcId="{62FA570C-1D49-4DA9-99B2-B68E3B7120C4}" destId="{ACBFD0EA-9363-46F0-872B-3F3BEBEA0696}" srcOrd="0" destOrd="0" presId="urn:microsoft.com/office/officeart/2005/8/layout/orgChart1"/>
    <dgm:cxn modelId="{6B1C79E8-D765-4F97-A6C0-1E43CBB3BA0B}" type="presParOf" srcId="{62FA570C-1D49-4DA9-99B2-B68E3B7120C4}" destId="{F91D5B02-0D90-46D2-B350-19859ED6901F}" srcOrd="1" destOrd="0" presId="urn:microsoft.com/office/officeart/2005/8/layout/orgChart1"/>
    <dgm:cxn modelId="{7EC03AA5-AF73-412D-81EE-BC31D320CB84}" type="presParOf" srcId="{F91D5B02-0D90-46D2-B350-19859ED6901F}" destId="{CF980796-F370-4E83-BB0E-7E8F23003A7D}" srcOrd="0" destOrd="0" presId="urn:microsoft.com/office/officeart/2005/8/layout/orgChart1"/>
    <dgm:cxn modelId="{38576838-A863-48D3-BFF7-BD9B0288DE3B}" type="presParOf" srcId="{CF980796-F370-4E83-BB0E-7E8F23003A7D}" destId="{4EC53F41-382F-429A-8A5A-E2C4DBF92994}" srcOrd="0" destOrd="0" presId="urn:microsoft.com/office/officeart/2005/8/layout/orgChart1"/>
    <dgm:cxn modelId="{B6CA8626-ED6C-416D-BBAF-CDB021B3E14B}" type="presParOf" srcId="{CF980796-F370-4E83-BB0E-7E8F23003A7D}" destId="{8557A0FA-67E7-49D8-91AC-AF5DD1527461}" srcOrd="1" destOrd="0" presId="urn:microsoft.com/office/officeart/2005/8/layout/orgChart1"/>
    <dgm:cxn modelId="{9803CEFC-10ED-4E57-A9E6-C3F42C7D8D85}" type="presParOf" srcId="{F91D5B02-0D90-46D2-B350-19859ED6901F}" destId="{DE9FC09C-32F7-4510-9F29-95C16F0849A7}" srcOrd="1" destOrd="0" presId="urn:microsoft.com/office/officeart/2005/8/layout/orgChart1"/>
    <dgm:cxn modelId="{0B5B7AAB-3619-47CA-990D-223C6BF7A56D}" type="presParOf" srcId="{DE9FC09C-32F7-4510-9F29-95C16F0849A7}" destId="{7718DBF1-9241-4E84-B84C-1BCE55D33C86}" srcOrd="0" destOrd="0" presId="urn:microsoft.com/office/officeart/2005/8/layout/orgChart1"/>
    <dgm:cxn modelId="{6ED7ADF7-F2F4-4734-97D8-FCF2E01DD651}" type="presParOf" srcId="{DE9FC09C-32F7-4510-9F29-95C16F0849A7}" destId="{F2EFE309-C1DF-4B53-BE2C-53EE31F3DBB3}" srcOrd="1" destOrd="0" presId="urn:microsoft.com/office/officeart/2005/8/layout/orgChart1"/>
    <dgm:cxn modelId="{262E4E24-A9EE-48E0-9D45-5774516FEEE8}" type="presParOf" srcId="{F2EFE309-C1DF-4B53-BE2C-53EE31F3DBB3}" destId="{B525BF5A-8C4B-4EE6-B806-E287C10FAA7B}" srcOrd="0" destOrd="0" presId="urn:microsoft.com/office/officeart/2005/8/layout/orgChart1"/>
    <dgm:cxn modelId="{8F0672B1-A2BD-4583-BE3A-AE30EA3D264D}" type="presParOf" srcId="{B525BF5A-8C4B-4EE6-B806-E287C10FAA7B}" destId="{E7F8B899-445C-4E8C-9710-31D46A51F473}" srcOrd="0" destOrd="0" presId="urn:microsoft.com/office/officeart/2005/8/layout/orgChart1"/>
    <dgm:cxn modelId="{3E130BBC-153B-4CB6-A9AB-1D848291A9F1}" type="presParOf" srcId="{B525BF5A-8C4B-4EE6-B806-E287C10FAA7B}" destId="{BDD1CDC9-C022-4E2D-A0C8-6D71B7D0734A}" srcOrd="1" destOrd="0" presId="urn:microsoft.com/office/officeart/2005/8/layout/orgChart1"/>
    <dgm:cxn modelId="{54694F3A-2108-4A85-BB4B-B5B944AF7279}" type="presParOf" srcId="{F2EFE309-C1DF-4B53-BE2C-53EE31F3DBB3}" destId="{E04E0CC8-D7BA-43AF-AEBF-BC490CCA69E3}" srcOrd="1" destOrd="0" presId="urn:microsoft.com/office/officeart/2005/8/layout/orgChart1"/>
    <dgm:cxn modelId="{3EC81B3D-E9CD-41BD-8F91-1258104AAF26}" type="presParOf" srcId="{F2EFE309-C1DF-4B53-BE2C-53EE31F3DBB3}" destId="{B9B908C0-B3DA-4B86-8BB4-155FF1417FEC}" srcOrd="2" destOrd="0" presId="urn:microsoft.com/office/officeart/2005/8/layout/orgChart1"/>
    <dgm:cxn modelId="{BC84CD6F-9DBC-43D9-BEA3-14B25A957101}" type="presParOf" srcId="{B9B908C0-B3DA-4B86-8BB4-155FF1417FEC}" destId="{F68E954B-3771-408C-872C-353A63805C2B}" srcOrd="0" destOrd="0" presId="urn:microsoft.com/office/officeart/2005/8/layout/orgChart1"/>
    <dgm:cxn modelId="{E06E107D-9C1D-41C3-BD0F-578FB3915613}" type="presParOf" srcId="{B9B908C0-B3DA-4B86-8BB4-155FF1417FEC}" destId="{2E2CD2DE-5AAE-4119-875B-57DEAA20E168}" srcOrd="1" destOrd="0" presId="urn:microsoft.com/office/officeart/2005/8/layout/orgChart1"/>
    <dgm:cxn modelId="{B0289935-7B82-44F1-8D7E-1E33ABB5D060}" type="presParOf" srcId="{2E2CD2DE-5AAE-4119-875B-57DEAA20E168}" destId="{EA7C0816-46A6-43FD-BF3B-8375A49C4287}" srcOrd="0" destOrd="0" presId="urn:microsoft.com/office/officeart/2005/8/layout/orgChart1"/>
    <dgm:cxn modelId="{3842FB1C-343A-4868-8346-B7A0579129AD}" type="presParOf" srcId="{EA7C0816-46A6-43FD-BF3B-8375A49C4287}" destId="{19896AAB-86BB-4877-BD04-2BBF12A4C816}" srcOrd="0" destOrd="0" presId="urn:microsoft.com/office/officeart/2005/8/layout/orgChart1"/>
    <dgm:cxn modelId="{71DC119F-E487-4241-B66C-82E247DE8FB7}" type="presParOf" srcId="{EA7C0816-46A6-43FD-BF3B-8375A49C4287}" destId="{573B90CF-0D06-412D-8736-E86079853E6B}" srcOrd="1" destOrd="0" presId="urn:microsoft.com/office/officeart/2005/8/layout/orgChart1"/>
    <dgm:cxn modelId="{FFCCD7C0-C3E8-4BF4-BC5B-613AD3F72803}" type="presParOf" srcId="{2E2CD2DE-5AAE-4119-875B-57DEAA20E168}" destId="{CD9EB7A0-9194-4B29-BD8A-CFC52BE4C656}" srcOrd="1" destOrd="0" presId="urn:microsoft.com/office/officeart/2005/8/layout/orgChart1"/>
    <dgm:cxn modelId="{852AF9CC-92C2-4A41-B3CF-175461F951DB}" type="presParOf" srcId="{CD9EB7A0-9194-4B29-BD8A-CFC52BE4C656}" destId="{8953E43A-29AD-4873-82BB-82D98A165E39}" srcOrd="0" destOrd="0" presId="urn:microsoft.com/office/officeart/2005/8/layout/orgChart1"/>
    <dgm:cxn modelId="{D824A0E8-938E-4080-9CA5-643A2776C108}" type="presParOf" srcId="{CD9EB7A0-9194-4B29-BD8A-CFC52BE4C656}" destId="{05638D34-95F6-49E5-B53E-44A814A62268}" srcOrd="1" destOrd="0" presId="urn:microsoft.com/office/officeart/2005/8/layout/orgChart1"/>
    <dgm:cxn modelId="{DA55782B-FB65-43D1-BC94-2EBC5BAB2035}" type="presParOf" srcId="{05638D34-95F6-49E5-B53E-44A814A62268}" destId="{3BB4D01C-CCB5-4393-B8E4-848FC390D5CA}" srcOrd="0" destOrd="0" presId="urn:microsoft.com/office/officeart/2005/8/layout/orgChart1"/>
    <dgm:cxn modelId="{477F1BC0-7703-4499-A86C-5ACE73D5431C}" type="presParOf" srcId="{3BB4D01C-CCB5-4393-B8E4-848FC390D5CA}" destId="{A5E2AF8E-CB6D-42AD-9865-A1F7D7E7CB9D}" srcOrd="0" destOrd="0" presId="urn:microsoft.com/office/officeart/2005/8/layout/orgChart1"/>
    <dgm:cxn modelId="{45B661A4-EDFB-4EE7-BCEC-97CF73812389}" type="presParOf" srcId="{3BB4D01C-CCB5-4393-B8E4-848FC390D5CA}" destId="{936C0F5E-370B-4ACD-8F1D-DE6B78319386}" srcOrd="1" destOrd="0" presId="urn:microsoft.com/office/officeart/2005/8/layout/orgChart1"/>
    <dgm:cxn modelId="{92AB1D4D-2ABE-4286-94CD-AAFE6580CEDF}" type="presParOf" srcId="{05638D34-95F6-49E5-B53E-44A814A62268}" destId="{88F5F38C-BE5B-481F-A07A-A7DD186124B9}" srcOrd="1" destOrd="0" presId="urn:microsoft.com/office/officeart/2005/8/layout/orgChart1"/>
    <dgm:cxn modelId="{2C3A1E95-1621-4EDB-923E-615F0E3945A6}" type="presParOf" srcId="{05638D34-95F6-49E5-B53E-44A814A62268}" destId="{DC4E401A-6222-487D-8C88-846EEA8BD9DD}" srcOrd="2" destOrd="0" presId="urn:microsoft.com/office/officeart/2005/8/layout/orgChart1"/>
    <dgm:cxn modelId="{843468EF-7317-4AAB-9AAA-9F383A20E568}" type="presParOf" srcId="{CD9EB7A0-9194-4B29-BD8A-CFC52BE4C656}" destId="{DC291BEE-FFBC-4344-9224-1DD0AD18DFF6}" srcOrd="2" destOrd="0" presId="urn:microsoft.com/office/officeart/2005/8/layout/orgChart1"/>
    <dgm:cxn modelId="{4D8CAA18-69AD-4337-AD80-8CF5F720719B}" type="presParOf" srcId="{CD9EB7A0-9194-4B29-BD8A-CFC52BE4C656}" destId="{200D2F9A-21ED-4C5B-B91C-C7050F9CCD20}" srcOrd="3" destOrd="0" presId="urn:microsoft.com/office/officeart/2005/8/layout/orgChart1"/>
    <dgm:cxn modelId="{24030651-9EA3-409C-B47C-C840D32EFB8B}" type="presParOf" srcId="{200D2F9A-21ED-4C5B-B91C-C7050F9CCD20}" destId="{68745372-46B3-4ED1-ACD0-5FD825F67D3A}" srcOrd="0" destOrd="0" presId="urn:microsoft.com/office/officeart/2005/8/layout/orgChart1"/>
    <dgm:cxn modelId="{3A042582-3A25-40B3-A6F7-A818BC5F033B}" type="presParOf" srcId="{68745372-46B3-4ED1-ACD0-5FD825F67D3A}" destId="{2FEB2CF7-B2A6-43E7-9675-117009245ACF}" srcOrd="0" destOrd="0" presId="urn:microsoft.com/office/officeart/2005/8/layout/orgChart1"/>
    <dgm:cxn modelId="{DE99982F-810E-4F8C-BB0D-A947C59C186B}" type="presParOf" srcId="{68745372-46B3-4ED1-ACD0-5FD825F67D3A}" destId="{060441DC-0A7D-4FE5-9F9C-D3BDE4D1CCCC}" srcOrd="1" destOrd="0" presId="urn:microsoft.com/office/officeart/2005/8/layout/orgChart1"/>
    <dgm:cxn modelId="{E4C8B375-D5E9-4B2C-B72C-69D279460577}" type="presParOf" srcId="{200D2F9A-21ED-4C5B-B91C-C7050F9CCD20}" destId="{D6A822B5-677E-428F-BB8C-3A5370F4A29A}" srcOrd="1" destOrd="0" presId="urn:microsoft.com/office/officeart/2005/8/layout/orgChart1"/>
    <dgm:cxn modelId="{5B0F780F-7DFB-4DD0-8170-4438C9A14054}" type="presParOf" srcId="{200D2F9A-21ED-4C5B-B91C-C7050F9CCD20}" destId="{AF56AB2E-07F9-46BA-BCE2-02C8BCE73D2B}" srcOrd="2" destOrd="0" presId="urn:microsoft.com/office/officeart/2005/8/layout/orgChart1"/>
    <dgm:cxn modelId="{5CB2E007-F35B-405E-9621-8B22F37BA0A2}" type="presParOf" srcId="{CD9EB7A0-9194-4B29-BD8A-CFC52BE4C656}" destId="{48CA259A-E870-48F0-B163-1E49E71BE027}" srcOrd="4" destOrd="0" presId="urn:microsoft.com/office/officeart/2005/8/layout/orgChart1"/>
    <dgm:cxn modelId="{63400CAC-75A8-41D9-9567-8AD54AC5A133}" type="presParOf" srcId="{CD9EB7A0-9194-4B29-BD8A-CFC52BE4C656}" destId="{DE38C1F8-9B2A-4A1C-94D7-8A93E7AC2986}" srcOrd="5" destOrd="0" presId="urn:microsoft.com/office/officeart/2005/8/layout/orgChart1"/>
    <dgm:cxn modelId="{8AB81F9F-F60E-4FE6-BC90-9B9EEA685CA8}" type="presParOf" srcId="{DE38C1F8-9B2A-4A1C-94D7-8A93E7AC2986}" destId="{A3F9A120-B14B-4635-9E00-E2102E7FF1CA}" srcOrd="0" destOrd="0" presId="urn:microsoft.com/office/officeart/2005/8/layout/orgChart1"/>
    <dgm:cxn modelId="{8676C254-F575-47DF-B506-8070E0973EE2}" type="presParOf" srcId="{A3F9A120-B14B-4635-9E00-E2102E7FF1CA}" destId="{9D70EEB4-6A4C-40C0-BA80-A8E2A07BE67B}" srcOrd="0" destOrd="0" presId="urn:microsoft.com/office/officeart/2005/8/layout/orgChart1"/>
    <dgm:cxn modelId="{C64AC2E2-D3C6-40B5-8777-9E4FA8621A14}" type="presParOf" srcId="{A3F9A120-B14B-4635-9E00-E2102E7FF1CA}" destId="{4E430C33-EE76-4E5C-B09F-23DE9D40ECC4}" srcOrd="1" destOrd="0" presId="urn:microsoft.com/office/officeart/2005/8/layout/orgChart1"/>
    <dgm:cxn modelId="{B487A216-D497-4480-9DBB-9264F29E3790}" type="presParOf" srcId="{DE38C1F8-9B2A-4A1C-94D7-8A93E7AC2986}" destId="{E127799A-1AB9-4D64-ADEA-B21891DC03F1}" srcOrd="1" destOrd="0" presId="urn:microsoft.com/office/officeart/2005/8/layout/orgChart1"/>
    <dgm:cxn modelId="{6AEA4088-55D3-434B-9441-B0A97D472480}" type="presParOf" srcId="{DE38C1F8-9B2A-4A1C-94D7-8A93E7AC2986}" destId="{0704D202-48F5-4E0F-8487-9F4FCA1F6FC6}" srcOrd="2" destOrd="0" presId="urn:microsoft.com/office/officeart/2005/8/layout/orgChart1"/>
    <dgm:cxn modelId="{76BC7881-A90D-4B9C-8B20-E388C74B0833}" type="presParOf" srcId="{CD9EB7A0-9194-4B29-BD8A-CFC52BE4C656}" destId="{E2F98020-2497-4A89-B5EE-1DAB27A9D598}" srcOrd="6" destOrd="0" presId="urn:microsoft.com/office/officeart/2005/8/layout/orgChart1"/>
    <dgm:cxn modelId="{2368B0FC-ECF4-4FBD-BBF5-396CCA6F17B7}" type="presParOf" srcId="{CD9EB7A0-9194-4B29-BD8A-CFC52BE4C656}" destId="{918EB9A3-B8EC-4317-B00A-EC04267CD314}" srcOrd="7" destOrd="0" presId="urn:microsoft.com/office/officeart/2005/8/layout/orgChart1"/>
    <dgm:cxn modelId="{E07CEF3B-3879-41E5-948F-FFA05CF0C6CB}" type="presParOf" srcId="{918EB9A3-B8EC-4317-B00A-EC04267CD314}" destId="{6CD4B782-3EA3-412E-8A6F-09EE29AEC30C}" srcOrd="0" destOrd="0" presId="urn:microsoft.com/office/officeart/2005/8/layout/orgChart1"/>
    <dgm:cxn modelId="{3FB3EF05-F5B5-4B94-A1AA-3E6E82514DF0}" type="presParOf" srcId="{6CD4B782-3EA3-412E-8A6F-09EE29AEC30C}" destId="{832906AF-693C-4520-8C4C-5C9E659F74D5}" srcOrd="0" destOrd="0" presId="urn:microsoft.com/office/officeart/2005/8/layout/orgChart1"/>
    <dgm:cxn modelId="{21E348A6-0B7C-4DD3-A30F-51697177D2C6}" type="presParOf" srcId="{6CD4B782-3EA3-412E-8A6F-09EE29AEC30C}" destId="{C77C9BCB-7E9D-44AA-9A55-007B3AF9EE3D}" srcOrd="1" destOrd="0" presId="urn:microsoft.com/office/officeart/2005/8/layout/orgChart1"/>
    <dgm:cxn modelId="{5DA5D511-936A-450E-A902-A680A8874CAA}" type="presParOf" srcId="{918EB9A3-B8EC-4317-B00A-EC04267CD314}" destId="{B5A692A1-CE23-49D8-9995-C49E7BFA0AFA}" srcOrd="1" destOrd="0" presId="urn:microsoft.com/office/officeart/2005/8/layout/orgChart1"/>
    <dgm:cxn modelId="{8773EB59-4C74-443F-906F-A592C25B34F9}" type="presParOf" srcId="{918EB9A3-B8EC-4317-B00A-EC04267CD314}" destId="{8819DF69-CAEF-4687-A563-926C678C4C49}" srcOrd="2" destOrd="0" presId="urn:microsoft.com/office/officeart/2005/8/layout/orgChart1"/>
    <dgm:cxn modelId="{A1B106F5-E1A6-49DB-A290-C53469B77FBF}" type="presParOf" srcId="{CD9EB7A0-9194-4B29-BD8A-CFC52BE4C656}" destId="{76922577-CB33-4FE7-AB61-25FC23986BCF}" srcOrd="8" destOrd="0" presId="urn:microsoft.com/office/officeart/2005/8/layout/orgChart1"/>
    <dgm:cxn modelId="{58D994FF-7F5D-4323-8F7F-1F55F3C8D312}" type="presParOf" srcId="{CD9EB7A0-9194-4B29-BD8A-CFC52BE4C656}" destId="{7797BDD3-12DB-4A07-9ADF-3FA931C0DC8B}" srcOrd="9" destOrd="0" presId="urn:microsoft.com/office/officeart/2005/8/layout/orgChart1"/>
    <dgm:cxn modelId="{311C992B-2906-4B24-98E8-D856AB7E0864}" type="presParOf" srcId="{7797BDD3-12DB-4A07-9ADF-3FA931C0DC8B}" destId="{6ACCB59F-3926-4987-A2B7-B4293192111D}" srcOrd="0" destOrd="0" presId="urn:microsoft.com/office/officeart/2005/8/layout/orgChart1"/>
    <dgm:cxn modelId="{AD04A729-280E-4D5C-8876-01016E3894F6}" type="presParOf" srcId="{6ACCB59F-3926-4987-A2B7-B4293192111D}" destId="{2782AB8A-BDF0-4F0B-A499-278A94D9EC34}" srcOrd="0" destOrd="0" presId="urn:microsoft.com/office/officeart/2005/8/layout/orgChart1"/>
    <dgm:cxn modelId="{BF7E7093-E91D-4132-89D2-62CE13AEAB10}" type="presParOf" srcId="{6ACCB59F-3926-4987-A2B7-B4293192111D}" destId="{5B7D4BAC-BE56-408A-AAA2-BAB13D95CB66}" srcOrd="1" destOrd="0" presId="urn:microsoft.com/office/officeart/2005/8/layout/orgChart1"/>
    <dgm:cxn modelId="{E56A6D41-2FCD-4630-BFAD-734603E01C1B}" type="presParOf" srcId="{7797BDD3-12DB-4A07-9ADF-3FA931C0DC8B}" destId="{BDDFC3B1-9D61-4E38-B3B0-27359FAB28D4}" srcOrd="1" destOrd="0" presId="urn:microsoft.com/office/officeart/2005/8/layout/orgChart1"/>
    <dgm:cxn modelId="{36966462-90A7-48F2-8A6F-45757232ACA8}" type="presParOf" srcId="{7797BDD3-12DB-4A07-9ADF-3FA931C0DC8B}" destId="{40A82F87-D76F-4025-842D-55ABF503E1DE}" srcOrd="2" destOrd="0" presId="urn:microsoft.com/office/officeart/2005/8/layout/orgChart1"/>
    <dgm:cxn modelId="{D3701A07-E569-49AE-8955-8164B8547A30}" type="presParOf" srcId="{CD9EB7A0-9194-4B29-BD8A-CFC52BE4C656}" destId="{DD53F6F6-34AC-4D04-91A5-B362C0066CEB}" srcOrd="10" destOrd="0" presId="urn:microsoft.com/office/officeart/2005/8/layout/orgChart1"/>
    <dgm:cxn modelId="{D9CEA77B-BDE6-4C0F-BFC3-C269B34BF752}" type="presParOf" srcId="{CD9EB7A0-9194-4B29-BD8A-CFC52BE4C656}" destId="{D1878E24-4E87-4795-A329-2B3B958A9437}" srcOrd="11" destOrd="0" presId="urn:microsoft.com/office/officeart/2005/8/layout/orgChart1"/>
    <dgm:cxn modelId="{40E70D35-E5FB-4B42-B6CB-AD192667DB06}" type="presParOf" srcId="{D1878E24-4E87-4795-A329-2B3B958A9437}" destId="{BC5C5972-93CC-410D-89D4-2D63FF2996BF}" srcOrd="0" destOrd="0" presId="urn:microsoft.com/office/officeart/2005/8/layout/orgChart1"/>
    <dgm:cxn modelId="{E87D6919-8324-4812-8D99-F738DD8C0A32}" type="presParOf" srcId="{BC5C5972-93CC-410D-89D4-2D63FF2996BF}" destId="{B4423A37-501E-49EB-B63F-808CD4E098FC}" srcOrd="0" destOrd="0" presId="urn:microsoft.com/office/officeart/2005/8/layout/orgChart1"/>
    <dgm:cxn modelId="{97B2770D-FB12-41AC-86EF-B3753B3EC58F}" type="presParOf" srcId="{BC5C5972-93CC-410D-89D4-2D63FF2996BF}" destId="{278B3F1F-7701-4757-BF5A-480DFF3933EC}" srcOrd="1" destOrd="0" presId="urn:microsoft.com/office/officeart/2005/8/layout/orgChart1"/>
    <dgm:cxn modelId="{6903DA96-31B3-4C5F-9683-C538449DEEDB}" type="presParOf" srcId="{D1878E24-4E87-4795-A329-2B3B958A9437}" destId="{42F837A0-12F0-45FA-A725-5F5A089ED1A7}" srcOrd="1" destOrd="0" presId="urn:microsoft.com/office/officeart/2005/8/layout/orgChart1"/>
    <dgm:cxn modelId="{0ED6D121-06B5-4193-94AF-A2E42D30CB7E}" type="presParOf" srcId="{D1878E24-4E87-4795-A329-2B3B958A9437}" destId="{CA8B5B1C-8566-4E01-B511-8EFE855C60B5}" srcOrd="2" destOrd="0" presId="urn:microsoft.com/office/officeart/2005/8/layout/orgChart1"/>
    <dgm:cxn modelId="{35E97312-1DB5-4A49-B0F1-CAC2328380CF}" type="presParOf" srcId="{CD9EB7A0-9194-4B29-BD8A-CFC52BE4C656}" destId="{233741F9-A8E4-47DE-A451-0C8DA3D85510}" srcOrd="12" destOrd="0" presId="urn:microsoft.com/office/officeart/2005/8/layout/orgChart1"/>
    <dgm:cxn modelId="{C1A8EAA3-F6BE-43E7-8633-20CAA50FF746}" type="presParOf" srcId="{CD9EB7A0-9194-4B29-BD8A-CFC52BE4C656}" destId="{6CE25505-94E4-4EFE-A81A-64964B3D9738}" srcOrd="13" destOrd="0" presId="urn:microsoft.com/office/officeart/2005/8/layout/orgChart1"/>
    <dgm:cxn modelId="{302BA02F-FF52-4438-A4ED-D300B927F369}" type="presParOf" srcId="{6CE25505-94E4-4EFE-A81A-64964B3D9738}" destId="{E4BD16FA-1C21-47B4-B5D6-5A5FF139A1E9}" srcOrd="0" destOrd="0" presId="urn:microsoft.com/office/officeart/2005/8/layout/orgChart1"/>
    <dgm:cxn modelId="{E7F6A9E8-E484-4313-8351-AAE2EA7ECC9B}" type="presParOf" srcId="{E4BD16FA-1C21-47B4-B5D6-5A5FF139A1E9}" destId="{4557E7E8-9724-45F3-A30D-F180BDE5491A}" srcOrd="0" destOrd="0" presId="urn:microsoft.com/office/officeart/2005/8/layout/orgChart1"/>
    <dgm:cxn modelId="{829FA04A-5EB5-47B3-A0D9-8A76688BF042}" type="presParOf" srcId="{E4BD16FA-1C21-47B4-B5D6-5A5FF139A1E9}" destId="{F267E391-CDB4-49D1-93EF-2710FBAA19AA}" srcOrd="1" destOrd="0" presId="urn:microsoft.com/office/officeart/2005/8/layout/orgChart1"/>
    <dgm:cxn modelId="{410CBE1A-D627-411B-A4FC-238AE3C1D742}" type="presParOf" srcId="{6CE25505-94E4-4EFE-A81A-64964B3D9738}" destId="{9A8B181A-809D-4E7B-9B07-CB0E9DE1ED4D}" srcOrd="1" destOrd="0" presId="urn:microsoft.com/office/officeart/2005/8/layout/orgChart1"/>
    <dgm:cxn modelId="{4D02FDDC-02ED-4837-AA72-47B8B34AB4BD}" type="presParOf" srcId="{6CE25505-94E4-4EFE-A81A-64964B3D9738}" destId="{EF8D470E-1937-425B-8F22-A26E566D1EA4}" srcOrd="2" destOrd="0" presId="urn:microsoft.com/office/officeart/2005/8/layout/orgChart1"/>
    <dgm:cxn modelId="{B4FE30B6-8630-4D83-9BD6-4DE8DAB7519D}" type="presParOf" srcId="{CD9EB7A0-9194-4B29-BD8A-CFC52BE4C656}" destId="{ED59254E-DE00-41F2-8B6E-BCD8A484E516}" srcOrd="14" destOrd="0" presId="urn:microsoft.com/office/officeart/2005/8/layout/orgChart1"/>
    <dgm:cxn modelId="{D5B0382E-A259-4D19-8F7D-CDE145AD9BFE}" type="presParOf" srcId="{CD9EB7A0-9194-4B29-BD8A-CFC52BE4C656}" destId="{414CA6F9-185B-4DBF-974C-4408F3BDE279}" srcOrd="15" destOrd="0" presId="urn:microsoft.com/office/officeart/2005/8/layout/orgChart1"/>
    <dgm:cxn modelId="{F5705F22-DC35-4B17-8B2F-C4D33E6F96EE}" type="presParOf" srcId="{414CA6F9-185B-4DBF-974C-4408F3BDE279}" destId="{97B03041-0654-4F42-A0F3-856C2630DF0E}" srcOrd="0" destOrd="0" presId="urn:microsoft.com/office/officeart/2005/8/layout/orgChart1"/>
    <dgm:cxn modelId="{C491E5DB-C371-4D86-ABC8-36B8BE6E4F93}" type="presParOf" srcId="{97B03041-0654-4F42-A0F3-856C2630DF0E}" destId="{DC50E6FA-D69A-4B2E-9BAB-56B680118908}" srcOrd="0" destOrd="0" presId="urn:microsoft.com/office/officeart/2005/8/layout/orgChart1"/>
    <dgm:cxn modelId="{25E57867-27F0-4E39-958E-06093E42BD2E}" type="presParOf" srcId="{97B03041-0654-4F42-A0F3-856C2630DF0E}" destId="{C0BDF922-862D-4D0D-90A4-A0CF02D05360}" srcOrd="1" destOrd="0" presId="urn:microsoft.com/office/officeart/2005/8/layout/orgChart1"/>
    <dgm:cxn modelId="{3F01AF84-F9E1-4B41-8661-5DE63DB10E01}" type="presParOf" srcId="{414CA6F9-185B-4DBF-974C-4408F3BDE279}" destId="{39A1A62F-9DE5-40A2-ACDD-862CE28256A6}" srcOrd="1" destOrd="0" presId="urn:microsoft.com/office/officeart/2005/8/layout/orgChart1"/>
    <dgm:cxn modelId="{852A9F84-A2CC-4C43-AC6A-B95A37A485C6}" type="presParOf" srcId="{414CA6F9-185B-4DBF-974C-4408F3BDE279}" destId="{F18A8F39-FBD3-46E7-81C0-70FAD4F429DE}" srcOrd="2" destOrd="0" presId="urn:microsoft.com/office/officeart/2005/8/layout/orgChart1"/>
    <dgm:cxn modelId="{4424DE94-A6B7-4215-8A68-A4598BEDD1F2}" type="presParOf" srcId="{2E2CD2DE-5AAE-4119-875B-57DEAA20E168}" destId="{7A8561CE-FC93-43DF-B7A8-C46F92CBF52E}" srcOrd="2" destOrd="0" presId="urn:microsoft.com/office/officeart/2005/8/layout/orgChart1"/>
    <dgm:cxn modelId="{421AA06E-0355-4646-860A-7779C8C1700A}" type="presParOf" srcId="{B9B908C0-B3DA-4B86-8BB4-155FF1417FEC}" destId="{36083C5F-EBE1-48EB-B0FB-FE0FA5952037}" srcOrd="2" destOrd="0" presId="urn:microsoft.com/office/officeart/2005/8/layout/orgChart1"/>
    <dgm:cxn modelId="{BBFC31DF-2059-4D80-B59A-9269E904B628}" type="presParOf" srcId="{B9B908C0-B3DA-4B86-8BB4-155FF1417FEC}" destId="{BE520D17-4FB7-4F6D-9694-2985FDB2C552}" srcOrd="3" destOrd="0" presId="urn:microsoft.com/office/officeart/2005/8/layout/orgChart1"/>
    <dgm:cxn modelId="{73B65520-D2A4-4A80-8617-F3F633B9FCB9}" type="presParOf" srcId="{BE520D17-4FB7-4F6D-9694-2985FDB2C552}" destId="{61CE5CEC-4755-488E-B060-01CD611D35E9}" srcOrd="0" destOrd="0" presId="urn:microsoft.com/office/officeart/2005/8/layout/orgChart1"/>
    <dgm:cxn modelId="{52DE2D22-30D3-4D35-969C-A86022192616}" type="presParOf" srcId="{61CE5CEC-4755-488E-B060-01CD611D35E9}" destId="{C73FD368-35B6-4065-BF97-2C8D62881A19}" srcOrd="0" destOrd="0" presId="urn:microsoft.com/office/officeart/2005/8/layout/orgChart1"/>
    <dgm:cxn modelId="{671E3A90-CAE0-47F5-8875-4412D4A9FA33}" type="presParOf" srcId="{61CE5CEC-4755-488E-B060-01CD611D35E9}" destId="{B084A575-3816-4C5F-8308-CD6EFCA453BB}" srcOrd="1" destOrd="0" presId="urn:microsoft.com/office/officeart/2005/8/layout/orgChart1"/>
    <dgm:cxn modelId="{026A2DF2-CB3D-4E02-B562-D29149083B04}" type="presParOf" srcId="{BE520D17-4FB7-4F6D-9694-2985FDB2C552}" destId="{50DE6578-C9BA-458C-A2C3-77072653F2E4}" srcOrd="1" destOrd="0" presId="urn:microsoft.com/office/officeart/2005/8/layout/orgChart1"/>
    <dgm:cxn modelId="{E7CCA609-018C-4C53-88B2-BC191DC2F1C1}" type="presParOf" srcId="{50DE6578-C9BA-458C-A2C3-77072653F2E4}" destId="{F799ED5E-BF34-49CB-BA37-239FBEEE3183}" srcOrd="0" destOrd="0" presId="urn:microsoft.com/office/officeart/2005/8/layout/orgChart1"/>
    <dgm:cxn modelId="{627BCB3C-BA0D-41DB-843F-14F766B02AC6}" type="presParOf" srcId="{50DE6578-C9BA-458C-A2C3-77072653F2E4}" destId="{CA9DB2F5-27FC-45EC-B69B-3C8B1E598409}" srcOrd="1" destOrd="0" presId="urn:microsoft.com/office/officeart/2005/8/layout/orgChart1"/>
    <dgm:cxn modelId="{73618D24-11E9-41F5-A615-DE7F711962AF}" type="presParOf" srcId="{CA9DB2F5-27FC-45EC-B69B-3C8B1E598409}" destId="{1906DAFD-3EF4-45F8-91B2-0F63F51CC8D9}" srcOrd="0" destOrd="0" presId="urn:microsoft.com/office/officeart/2005/8/layout/orgChart1"/>
    <dgm:cxn modelId="{5E2D68F6-75BD-4351-9C61-7B07DDC20C9C}" type="presParOf" srcId="{1906DAFD-3EF4-45F8-91B2-0F63F51CC8D9}" destId="{267CA20F-F556-496C-84B9-1982810C63DA}" srcOrd="0" destOrd="0" presId="urn:microsoft.com/office/officeart/2005/8/layout/orgChart1"/>
    <dgm:cxn modelId="{CE7B6F77-8059-4674-AEBC-A614329B8336}" type="presParOf" srcId="{1906DAFD-3EF4-45F8-91B2-0F63F51CC8D9}" destId="{1C9AFB65-91C5-421D-B231-8610CF45094B}" srcOrd="1" destOrd="0" presId="urn:microsoft.com/office/officeart/2005/8/layout/orgChart1"/>
    <dgm:cxn modelId="{E53C5C7E-045E-426F-BFCA-446FAE640028}" type="presParOf" srcId="{CA9DB2F5-27FC-45EC-B69B-3C8B1E598409}" destId="{7AA513DC-FA11-46E8-99CD-3009B2A0F580}" srcOrd="1" destOrd="0" presId="urn:microsoft.com/office/officeart/2005/8/layout/orgChart1"/>
    <dgm:cxn modelId="{C5754850-EF38-427C-A9B9-34F6C482CAA0}" type="presParOf" srcId="{CA9DB2F5-27FC-45EC-B69B-3C8B1E598409}" destId="{6A597BE9-D759-42B7-82AA-5214CC2D36E6}" srcOrd="2" destOrd="0" presId="urn:microsoft.com/office/officeart/2005/8/layout/orgChart1"/>
    <dgm:cxn modelId="{277058DF-59EF-434A-8010-4872A2D1A073}" type="presParOf" srcId="{50DE6578-C9BA-458C-A2C3-77072653F2E4}" destId="{489F442C-EA2D-4ADA-BB80-306B89C0112D}" srcOrd="2" destOrd="0" presId="urn:microsoft.com/office/officeart/2005/8/layout/orgChart1"/>
    <dgm:cxn modelId="{5E3EE51F-8FBE-4040-A08E-473ECF186028}" type="presParOf" srcId="{50DE6578-C9BA-458C-A2C3-77072653F2E4}" destId="{BE48593F-0B04-4E6D-889F-A6F87A94EC91}" srcOrd="3" destOrd="0" presId="urn:microsoft.com/office/officeart/2005/8/layout/orgChart1"/>
    <dgm:cxn modelId="{FCCD62EA-9163-4664-88E8-99E86C0D894A}" type="presParOf" srcId="{BE48593F-0B04-4E6D-889F-A6F87A94EC91}" destId="{BB9D08F7-E19C-42C0-9D30-E5F901232EF5}" srcOrd="0" destOrd="0" presId="urn:microsoft.com/office/officeart/2005/8/layout/orgChart1"/>
    <dgm:cxn modelId="{F14A2412-E7CB-4FD0-8A81-6F8363FDA63A}" type="presParOf" srcId="{BB9D08F7-E19C-42C0-9D30-E5F901232EF5}" destId="{3159B44B-DFEE-4020-8626-0757DE3FB289}" srcOrd="0" destOrd="0" presId="urn:microsoft.com/office/officeart/2005/8/layout/orgChart1"/>
    <dgm:cxn modelId="{BFDB5203-5382-4D18-8D74-892D85AFE1B7}" type="presParOf" srcId="{BB9D08F7-E19C-42C0-9D30-E5F901232EF5}" destId="{D14472AB-3F54-4EDE-9773-B60027C773C2}" srcOrd="1" destOrd="0" presId="urn:microsoft.com/office/officeart/2005/8/layout/orgChart1"/>
    <dgm:cxn modelId="{C11A1A1B-6214-42B5-B40C-A105449F9893}" type="presParOf" srcId="{BE48593F-0B04-4E6D-889F-A6F87A94EC91}" destId="{B8F39111-9AE8-47EB-B660-A835173D6435}" srcOrd="1" destOrd="0" presId="urn:microsoft.com/office/officeart/2005/8/layout/orgChart1"/>
    <dgm:cxn modelId="{952C63AD-725A-422B-B99B-95D7EB6C8AD5}" type="presParOf" srcId="{BE48593F-0B04-4E6D-889F-A6F87A94EC91}" destId="{C42DBF2C-78E1-454D-8586-B7A4463A235F}" srcOrd="2" destOrd="0" presId="urn:microsoft.com/office/officeart/2005/8/layout/orgChart1"/>
    <dgm:cxn modelId="{9F918BEB-1ECF-420E-8C1B-9297C2B91628}" type="presParOf" srcId="{50DE6578-C9BA-458C-A2C3-77072653F2E4}" destId="{2EA5F917-B10B-42CA-B0D1-1B4B173E61B9}" srcOrd="4" destOrd="0" presId="urn:microsoft.com/office/officeart/2005/8/layout/orgChart1"/>
    <dgm:cxn modelId="{0E0BB99A-2ACE-4722-A318-1E5A0B41EA30}" type="presParOf" srcId="{50DE6578-C9BA-458C-A2C3-77072653F2E4}" destId="{EE2A6D14-597F-46A7-9955-95CC8AC1C2C7}" srcOrd="5" destOrd="0" presId="urn:microsoft.com/office/officeart/2005/8/layout/orgChart1"/>
    <dgm:cxn modelId="{591DBE60-5F65-4EF1-807C-7F82F303FFAB}" type="presParOf" srcId="{EE2A6D14-597F-46A7-9955-95CC8AC1C2C7}" destId="{4E4BC46F-FB3C-44C2-AC16-70C745D26F30}" srcOrd="0" destOrd="0" presId="urn:microsoft.com/office/officeart/2005/8/layout/orgChart1"/>
    <dgm:cxn modelId="{F2131822-5837-4203-B04E-AD9695190DCC}" type="presParOf" srcId="{4E4BC46F-FB3C-44C2-AC16-70C745D26F30}" destId="{F81D7899-7923-4044-874C-9EA79256BDAF}" srcOrd="0" destOrd="0" presId="urn:microsoft.com/office/officeart/2005/8/layout/orgChart1"/>
    <dgm:cxn modelId="{66AF86FD-C69F-449C-A4A2-83C5E2F9B70A}" type="presParOf" srcId="{4E4BC46F-FB3C-44C2-AC16-70C745D26F30}" destId="{B50A99E5-1A09-425B-A354-B66B16B4F615}" srcOrd="1" destOrd="0" presId="urn:microsoft.com/office/officeart/2005/8/layout/orgChart1"/>
    <dgm:cxn modelId="{0052CF39-D819-4639-A0E4-189C1ADAAC04}" type="presParOf" srcId="{EE2A6D14-597F-46A7-9955-95CC8AC1C2C7}" destId="{FE2CAF00-F837-4020-B67E-AA3ED3F1F528}" srcOrd="1" destOrd="0" presId="urn:microsoft.com/office/officeart/2005/8/layout/orgChart1"/>
    <dgm:cxn modelId="{0D0E3AF8-5B7F-4275-8AD0-23C437070799}" type="presParOf" srcId="{EE2A6D14-597F-46A7-9955-95CC8AC1C2C7}" destId="{7F25DA91-20A2-4B26-87D3-613DECC352FE}" srcOrd="2" destOrd="0" presId="urn:microsoft.com/office/officeart/2005/8/layout/orgChart1"/>
    <dgm:cxn modelId="{9CA40FAD-A0F3-473F-A73B-8613C9C5F16D}" type="presParOf" srcId="{BE520D17-4FB7-4F6D-9694-2985FDB2C552}" destId="{86D00E76-5BB2-4106-B634-250CC9CE85E2}" srcOrd="2" destOrd="0" presId="urn:microsoft.com/office/officeart/2005/8/layout/orgChart1"/>
    <dgm:cxn modelId="{3568DBF1-BB1E-443C-B7DE-C1B32A6C90CA}" type="presParOf" srcId="{F91D5B02-0D90-46D2-B350-19859ED6901F}" destId="{8FEC3891-4C53-49F3-BB80-C9A32CDD9F5E}" srcOrd="2" destOrd="0" presId="urn:microsoft.com/office/officeart/2005/8/layout/orgChart1"/>
    <dgm:cxn modelId="{3C9494F3-337B-4F69-A43C-2C310B2F1BE6}" type="presParOf" srcId="{DC65ED71-EF63-4B16-979A-1DCC2EDCEC05}" destId="{874DEA8C-4F54-4FB1-95CA-CBD6E43AC5DE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EA5F917-B10B-42CA-B0D1-1B4B173E61B9}">
      <dsp:nvSpPr>
        <dsp:cNvPr id="0" name=""/>
        <dsp:cNvSpPr/>
      </dsp:nvSpPr>
      <dsp:spPr>
        <a:xfrm>
          <a:off x="3590651" y="1860779"/>
          <a:ext cx="383597" cy="1328520"/>
        </a:xfrm>
        <a:custGeom>
          <a:avLst/>
          <a:gdLst/>
          <a:ahLst/>
          <a:cxnLst/>
          <a:rect l="0" t="0" r="0" b="0"/>
          <a:pathLst>
            <a:path>
              <a:moveTo>
                <a:pt x="383597" y="0"/>
              </a:moveTo>
              <a:lnTo>
                <a:pt x="383597" y="1328520"/>
              </a:lnTo>
              <a:lnTo>
                <a:pt x="0" y="1328520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89F442C-EA2D-4ADA-BB80-306B89C0112D}">
      <dsp:nvSpPr>
        <dsp:cNvPr id="0" name=""/>
        <dsp:cNvSpPr/>
      </dsp:nvSpPr>
      <dsp:spPr>
        <a:xfrm>
          <a:off x="3590651" y="1860779"/>
          <a:ext cx="383597" cy="826845"/>
        </a:xfrm>
        <a:custGeom>
          <a:avLst/>
          <a:gdLst/>
          <a:ahLst/>
          <a:cxnLst/>
          <a:rect l="0" t="0" r="0" b="0"/>
          <a:pathLst>
            <a:path>
              <a:moveTo>
                <a:pt x="383597" y="0"/>
              </a:moveTo>
              <a:lnTo>
                <a:pt x="383597" y="826845"/>
              </a:lnTo>
              <a:lnTo>
                <a:pt x="0" y="82684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799ED5E-BF34-49CB-BA37-239FBEEE3183}">
      <dsp:nvSpPr>
        <dsp:cNvPr id="0" name=""/>
        <dsp:cNvSpPr/>
      </dsp:nvSpPr>
      <dsp:spPr>
        <a:xfrm>
          <a:off x="3590651" y="1860779"/>
          <a:ext cx="383597" cy="325170"/>
        </a:xfrm>
        <a:custGeom>
          <a:avLst/>
          <a:gdLst/>
          <a:ahLst/>
          <a:cxnLst/>
          <a:rect l="0" t="0" r="0" b="0"/>
          <a:pathLst>
            <a:path>
              <a:moveTo>
                <a:pt x="383597" y="0"/>
              </a:moveTo>
              <a:lnTo>
                <a:pt x="383597" y="325170"/>
              </a:lnTo>
              <a:lnTo>
                <a:pt x="0" y="325170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6083C5F-EBE1-48EB-B0FB-FE0FA5952037}">
      <dsp:nvSpPr>
        <dsp:cNvPr id="0" name=""/>
        <dsp:cNvSpPr/>
      </dsp:nvSpPr>
      <dsp:spPr>
        <a:xfrm>
          <a:off x="2809875" y="1359245"/>
          <a:ext cx="811081" cy="32488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24887"/>
              </a:lnTo>
              <a:lnTo>
                <a:pt x="811081" y="324887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D59254E-DE00-41F2-8B6E-BCD8A484E516}">
      <dsp:nvSpPr>
        <dsp:cNvPr id="0" name=""/>
        <dsp:cNvSpPr/>
      </dsp:nvSpPr>
      <dsp:spPr>
        <a:xfrm>
          <a:off x="1718979" y="1876249"/>
          <a:ext cx="310120" cy="382142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821426"/>
              </a:lnTo>
              <a:lnTo>
                <a:pt x="310120" y="3821426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33741F9-A8E4-47DE-A451-0C8DA3D85510}">
      <dsp:nvSpPr>
        <dsp:cNvPr id="0" name=""/>
        <dsp:cNvSpPr/>
      </dsp:nvSpPr>
      <dsp:spPr>
        <a:xfrm>
          <a:off x="1718979" y="1876249"/>
          <a:ext cx="310120" cy="331975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319751"/>
              </a:lnTo>
              <a:lnTo>
                <a:pt x="310120" y="3319751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D53F6F6-34AC-4D04-91A5-B362C0066CEB}">
      <dsp:nvSpPr>
        <dsp:cNvPr id="0" name=""/>
        <dsp:cNvSpPr/>
      </dsp:nvSpPr>
      <dsp:spPr>
        <a:xfrm>
          <a:off x="1718979" y="1876249"/>
          <a:ext cx="310120" cy="281807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818076"/>
              </a:lnTo>
              <a:lnTo>
                <a:pt x="310120" y="2818076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6922577-CB33-4FE7-AB61-25FC23986BCF}">
      <dsp:nvSpPr>
        <dsp:cNvPr id="0" name=""/>
        <dsp:cNvSpPr/>
      </dsp:nvSpPr>
      <dsp:spPr>
        <a:xfrm>
          <a:off x="1718979" y="1876249"/>
          <a:ext cx="310120" cy="231640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316400"/>
              </a:lnTo>
              <a:lnTo>
                <a:pt x="310120" y="2316400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2F98020-2497-4A89-B5EE-1DAB27A9D598}">
      <dsp:nvSpPr>
        <dsp:cNvPr id="0" name=""/>
        <dsp:cNvSpPr/>
      </dsp:nvSpPr>
      <dsp:spPr>
        <a:xfrm>
          <a:off x="1718979" y="1876249"/>
          <a:ext cx="310120" cy="181472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814725"/>
              </a:lnTo>
              <a:lnTo>
                <a:pt x="310120" y="181472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8CA259A-E870-48F0-B163-1E49E71BE027}">
      <dsp:nvSpPr>
        <dsp:cNvPr id="0" name=""/>
        <dsp:cNvSpPr/>
      </dsp:nvSpPr>
      <dsp:spPr>
        <a:xfrm>
          <a:off x="1718979" y="1876249"/>
          <a:ext cx="310120" cy="131305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13050"/>
              </a:lnTo>
              <a:lnTo>
                <a:pt x="310120" y="1313050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C291BEE-FFBC-4344-9224-1DD0AD18DFF6}">
      <dsp:nvSpPr>
        <dsp:cNvPr id="0" name=""/>
        <dsp:cNvSpPr/>
      </dsp:nvSpPr>
      <dsp:spPr>
        <a:xfrm>
          <a:off x="1718979" y="1876249"/>
          <a:ext cx="310120" cy="81137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811374"/>
              </a:lnTo>
              <a:lnTo>
                <a:pt x="310120" y="811374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953E43A-29AD-4873-82BB-82D98A165E39}">
      <dsp:nvSpPr>
        <dsp:cNvPr id="0" name=""/>
        <dsp:cNvSpPr/>
      </dsp:nvSpPr>
      <dsp:spPr>
        <a:xfrm>
          <a:off x="1718979" y="1876249"/>
          <a:ext cx="310120" cy="30969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09699"/>
              </a:lnTo>
              <a:lnTo>
                <a:pt x="310120" y="30969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68E954B-3771-408C-872C-353A63805C2B}">
      <dsp:nvSpPr>
        <dsp:cNvPr id="0" name=""/>
        <dsp:cNvSpPr/>
      </dsp:nvSpPr>
      <dsp:spPr>
        <a:xfrm>
          <a:off x="2072271" y="1359245"/>
          <a:ext cx="737603" cy="340358"/>
        </a:xfrm>
        <a:custGeom>
          <a:avLst/>
          <a:gdLst/>
          <a:ahLst/>
          <a:cxnLst/>
          <a:rect l="0" t="0" r="0" b="0"/>
          <a:pathLst>
            <a:path>
              <a:moveTo>
                <a:pt x="737603" y="0"/>
              </a:moveTo>
              <a:lnTo>
                <a:pt x="737603" y="340358"/>
              </a:lnTo>
              <a:lnTo>
                <a:pt x="0" y="34035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718DBF1-9241-4E84-B84C-1BCE55D33C86}">
      <dsp:nvSpPr>
        <dsp:cNvPr id="0" name=""/>
        <dsp:cNvSpPr/>
      </dsp:nvSpPr>
      <dsp:spPr>
        <a:xfrm>
          <a:off x="2764155" y="857569"/>
          <a:ext cx="91440" cy="14838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148382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CBFD0EA-9363-46F0-872B-3F3BEBEA0696}">
      <dsp:nvSpPr>
        <dsp:cNvPr id="0" name=""/>
        <dsp:cNvSpPr/>
      </dsp:nvSpPr>
      <dsp:spPr>
        <a:xfrm>
          <a:off x="2764155" y="383620"/>
          <a:ext cx="91440" cy="91440"/>
        </a:xfrm>
        <a:custGeom>
          <a:avLst/>
          <a:gdLst/>
          <a:ahLst/>
          <a:cxnLst/>
          <a:rect l="0" t="0" r="0" b="0"/>
          <a:pathLst>
            <a:path>
              <a:moveTo>
                <a:pt x="55167" y="45720"/>
              </a:moveTo>
              <a:lnTo>
                <a:pt x="55167" y="46465"/>
              </a:lnTo>
              <a:lnTo>
                <a:pt x="45720" y="46465"/>
              </a:lnTo>
              <a:lnTo>
                <a:pt x="45720" y="120656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29B2D5F-7B3E-48AD-A8B9-5AF54643F577}">
      <dsp:nvSpPr>
        <dsp:cNvPr id="0" name=""/>
        <dsp:cNvSpPr/>
      </dsp:nvSpPr>
      <dsp:spPr>
        <a:xfrm>
          <a:off x="2466030" y="76048"/>
          <a:ext cx="706584" cy="35329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600" kern="1200"/>
            <a:t>JGA</a:t>
          </a:r>
        </a:p>
      </dsp:txBody>
      <dsp:txXfrm>
        <a:off x="2466030" y="76048"/>
        <a:ext cx="706584" cy="353292"/>
      </dsp:txXfrm>
    </dsp:sp>
    <dsp:sp modelId="{4EC53F41-382F-429A-8A5A-E2C4DBF92994}">
      <dsp:nvSpPr>
        <dsp:cNvPr id="0" name=""/>
        <dsp:cNvSpPr/>
      </dsp:nvSpPr>
      <dsp:spPr>
        <a:xfrm>
          <a:off x="2456583" y="504277"/>
          <a:ext cx="706584" cy="35329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600" kern="1200"/>
            <a:t>Directorio</a:t>
          </a:r>
        </a:p>
      </dsp:txBody>
      <dsp:txXfrm>
        <a:off x="2456583" y="504277"/>
        <a:ext cx="706584" cy="353292"/>
      </dsp:txXfrm>
    </dsp:sp>
    <dsp:sp modelId="{E7F8B899-445C-4E8C-9710-31D46A51F473}">
      <dsp:nvSpPr>
        <dsp:cNvPr id="0" name=""/>
        <dsp:cNvSpPr/>
      </dsp:nvSpPr>
      <dsp:spPr>
        <a:xfrm>
          <a:off x="2456583" y="1005952"/>
          <a:ext cx="706584" cy="35329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600" kern="1200"/>
            <a:t>Gerencia</a:t>
          </a:r>
        </a:p>
      </dsp:txBody>
      <dsp:txXfrm>
        <a:off x="2456583" y="1005952"/>
        <a:ext cx="706584" cy="353292"/>
      </dsp:txXfrm>
    </dsp:sp>
    <dsp:sp modelId="{19896AAB-86BB-4877-BD04-2BBF12A4C816}">
      <dsp:nvSpPr>
        <dsp:cNvPr id="0" name=""/>
        <dsp:cNvSpPr/>
      </dsp:nvSpPr>
      <dsp:spPr>
        <a:xfrm>
          <a:off x="1365686" y="1522957"/>
          <a:ext cx="706584" cy="35329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600" kern="1200"/>
            <a:t>Gerencia de Operaciones</a:t>
          </a:r>
        </a:p>
      </dsp:txBody>
      <dsp:txXfrm>
        <a:off x="1365686" y="1522957"/>
        <a:ext cx="706584" cy="353292"/>
      </dsp:txXfrm>
    </dsp:sp>
    <dsp:sp modelId="{A5E2AF8E-CB6D-42AD-9865-A1F7D7E7CB9D}">
      <dsp:nvSpPr>
        <dsp:cNvPr id="0" name=""/>
        <dsp:cNvSpPr/>
      </dsp:nvSpPr>
      <dsp:spPr>
        <a:xfrm>
          <a:off x="2029099" y="2009303"/>
          <a:ext cx="706584" cy="35329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600" kern="1200"/>
            <a:t>Unidad de Destilación Primaria</a:t>
          </a:r>
        </a:p>
      </dsp:txBody>
      <dsp:txXfrm>
        <a:off x="2029099" y="2009303"/>
        <a:ext cx="706584" cy="353292"/>
      </dsp:txXfrm>
    </dsp:sp>
    <dsp:sp modelId="{2FEB2CF7-B2A6-43E7-9675-117009245ACF}">
      <dsp:nvSpPr>
        <dsp:cNvPr id="0" name=""/>
        <dsp:cNvSpPr/>
      </dsp:nvSpPr>
      <dsp:spPr>
        <a:xfrm>
          <a:off x="2029099" y="2510978"/>
          <a:ext cx="706584" cy="35329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600" kern="1200"/>
            <a:t>Unidad de Destilación al Vacío</a:t>
          </a:r>
        </a:p>
      </dsp:txBody>
      <dsp:txXfrm>
        <a:off x="2029099" y="2510978"/>
        <a:ext cx="706584" cy="353292"/>
      </dsp:txXfrm>
    </dsp:sp>
    <dsp:sp modelId="{9D70EEB4-6A4C-40C0-BA80-A8E2A07BE67B}">
      <dsp:nvSpPr>
        <dsp:cNvPr id="0" name=""/>
        <dsp:cNvSpPr/>
      </dsp:nvSpPr>
      <dsp:spPr>
        <a:xfrm>
          <a:off x="2029099" y="3012653"/>
          <a:ext cx="706584" cy="35329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600" kern="1200"/>
            <a:t>Unidad de Craqueo Catalítico</a:t>
          </a:r>
        </a:p>
      </dsp:txBody>
      <dsp:txXfrm>
        <a:off x="2029099" y="3012653"/>
        <a:ext cx="706584" cy="353292"/>
      </dsp:txXfrm>
    </dsp:sp>
    <dsp:sp modelId="{832906AF-693C-4520-8C4C-5C9E659F74D5}">
      <dsp:nvSpPr>
        <dsp:cNvPr id="0" name=""/>
        <dsp:cNvSpPr/>
      </dsp:nvSpPr>
      <dsp:spPr>
        <a:xfrm>
          <a:off x="2029099" y="3514329"/>
          <a:ext cx="706584" cy="35329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600" kern="1200"/>
            <a:t>Tanques de Almacenamiento</a:t>
          </a:r>
        </a:p>
      </dsp:txBody>
      <dsp:txXfrm>
        <a:off x="2029099" y="3514329"/>
        <a:ext cx="706584" cy="353292"/>
      </dsp:txXfrm>
    </dsp:sp>
    <dsp:sp modelId="{2782AB8A-BDF0-4F0B-A499-278A94D9EC34}">
      <dsp:nvSpPr>
        <dsp:cNvPr id="0" name=""/>
        <dsp:cNvSpPr/>
      </dsp:nvSpPr>
      <dsp:spPr>
        <a:xfrm>
          <a:off x="2029099" y="4016004"/>
          <a:ext cx="706584" cy="35329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600" kern="1200"/>
            <a:t>Planta de Servicios Industriales</a:t>
          </a:r>
        </a:p>
      </dsp:txBody>
      <dsp:txXfrm>
        <a:off x="2029099" y="4016004"/>
        <a:ext cx="706584" cy="353292"/>
      </dsp:txXfrm>
    </dsp:sp>
    <dsp:sp modelId="{B4423A37-501E-49EB-B63F-808CD4E098FC}">
      <dsp:nvSpPr>
        <dsp:cNvPr id="0" name=""/>
        <dsp:cNvSpPr/>
      </dsp:nvSpPr>
      <dsp:spPr>
        <a:xfrm>
          <a:off x="2029099" y="4517679"/>
          <a:ext cx="706584" cy="35329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600" kern="1200"/>
            <a:t>Talleres de Maq. y Herramientas de Ingº de Mantenimiento</a:t>
          </a:r>
        </a:p>
      </dsp:txBody>
      <dsp:txXfrm>
        <a:off x="2029099" y="4517679"/>
        <a:ext cx="706584" cy="353292"/>
      </dsp:txXfrm>
    </dsp:sp>
    <dsp:sp modelId="{4557E7E8-9724-45F3-A30D-F180BDE5491A}">
      <dsp:nvSpPr>
        <dsp:cNvPr id="0" name=""/>
        <dsp:cNvSpPr/>
      </dsp:nvSpPr>
      <dsp:spPr>
        <a:xfrm>
          <a:off x="2029099" y="5019355"/>
          <a:ext cx="706584" cy="35329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600" kern="1200"/>
            <a:t>Laboratorio (Control de Calidad)</a:t>
          </a:r>
        </a:p>
      </dsp:txBody>
      <dsp:txXfrm>
        <a:off x="2029099" y="5019355"/>
        <a:ext cx="706584" cy="353292"/>
      </dsp:txXfrm>
    </dsp:sp>
    <dsp:sp modelId="{DC50E6FA-D69A-4B2E-9BAB-56B680118908}">
      <dsp:nvSpPr>
        <dsp:cNvPr id="0" name=""/>
        <dsp:cNvSpPr/>
      </dsp:nvSpPr>
      <dsp:spPr>
        <a:xfrm>
          <a:off x="2029099" y="5521030"/>
          <a:ext cx="706584" cy="35329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600" kern="1200"/>
            <a:t>Estación Contra Incendios</a:t>
          </a:r>
        </a:p>
      </dsp:txBody>
      <dsp:txXfrm>
        <a:off x="2029099" y="5521030"/>
        <a:ext cx="706584" cy="353292"/>
      </dsp:txXfrm>
    </dsp:sp>
    <dsp:sp modelId="{C73FD368-35B6-4065-BF97-2C8D62881A19}">
      <dsp:nvSpPr>
        <dsp:cNvPr id="0" name=""/>
        <dsp:cNvSpPr/>
      </dsp:nvSpPr>
      <dsp:spPr>
        <a:xfrm>
          <a:off x="3620957" y="1507486"/>
          <a:ext cx="706584" cy="35329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600" kern="1200"/>
            <a:t>Gerencia de Administración</a:t>
          </a:r>
        </a:p>
      </dsp:txBody>
      <dsp:txXfrm>
        <a:off x="3620957" y="1507486"/>
        <a:ext cx="706584" cy="353292"/>
      </dsp:txXfrm>
    </dsp:sp>
    <dsp:sp modelId="{267CA20F-F556-496C-84B9-1982810C63DA}">
      <dsp:nvSpPr>
        <dsp:cNvPr id="0" name=""/>
        <dsp:cNvSpPr/>
      </dsp:nvSpPr>
      <dsp:spPr>
        <a:xfrm>
          <a:off x="2884066" y="2009303"/>
          <a:ext cx="706584" cy="35329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600" kern="1200"/>
            <a:t>Contabilidad</a:t>
          </a:r>
        </a:p>
      </dsp:txBody>
      <dsp:txXfrm>
        <a:off x="2884066" y="2009303"/>
        <a:ext cx="706584" cy="353292"/>
      </dsp:txXfrm>
    </dsp:sp>
    <dsp:sp modelId="{3159B44B-DFEE-4020-8626-0757DE3FB289}">
      <dsp:nvSpPr>
        <dsp:cNvPr id="0" name=""/>
        <dsp:cNvSpPr/>
      </dsp:nvSpPr>
      <dsp:spPr>
        <a:xfrm>
          <a:off x="2884066" y="2510978"/>
          <a:ext cx="706584" cy="35329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600" kern="1200"/>
            <a:t>Finanzas</a:t>
          </a:r>
        </a:p>
      </dsp:txBody>
      <dsp:txXfrm>
        <a:off x="2884066" y="2510978"/>
        <a:ext cx="706584" cy="353292"/>
      </dsp:txXfrm>
    </dsp:sp>
    <dsp:sp modelId="{F81D7899-7923-4044-874C-9EA79256BDAF}">
      <dsp:nvSpPr>
        <dsp:cNvPr id="0" name=""/>
        <dsp:cNvSpPr/>
      </dsp:nvSpPr>
      <dsp:spPr>
        <a:xfrm>
          <a:off x="2884066" y="3012653"/>
          <a:ext cx="706584" cy="35329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_tradnl" sz="600" kern="1200"/>
            <a:t>Logística</a:t>
          </a:r>
        </a:p>
      </dsp:txBody>
      <dsp:txXfrm>
        <a:off x="2884066" y="3012653"/>
        <a:ext cx="706584" cy="35329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285751</xdr:colOff>
      <xdr:row>36</xdr:row>
      <xdr:rowOff>47625</xdr:rowOff>
    </xdr:to>
    <xdr:graphicFrame macro="">
      <xdr:nvGraphicFramePr>
        <xdr:cNvPr id="2" name="1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6600"/>
    <pageSetUpPr fitToPage="1"/>
  </sheetPr>
  <dimension ref="A1:O40"/>
  <sheetViews>
    <sheetView tabSelected="1" view="pageLayout" topLeftCell="B1" zoomScaleSheetLayoutView="75" workbookViewId="0">
      <selection activeCell="E37" sqref="E37"/>
    </sheetView>
  </sheetViews>
  <sheetFormatPr baseColWidth="10" defaultRowHeight="12.75" x14ac:dyDescent="0.2"/>
  <cols>
    <col min="1" max="1" width="0.140625" hidden="1" customWidth="1"/>
    <col min="2" max="2" width="3.85546875" customWidth="1"/>
    <col min="3" max="3" width="19.5703125" style="21" customWidth="1"/>
    <col min="4" max="4" width="11.140625" customWidth="1"/>
    <col min="5" max="5" width="10.85546875" customWidth="1"/>
    <col min="6" max="6" width="9.140625" customWidth="1"/>
    <col min="7" max="7" width="10.85546875" customWidth="1"/>
    <col min="8" max="8" width="10.28515625" customWidth="1"/>
    <col min="9" max="9" width="10" customWidth="1"/>
    <col min="10" max="10" width="9.140625" customWidth="1"/>
    <col min="11" max="11" width="8.7109375" customWidth="1"/>
    <col min="12" max="12" width="8.5703125" customWidth="1"/>
    <col min="13" max="13" width="19.7109375" customWidth="1"/>
    <col min="14" max="14" width="9.42578125" customWidth="1"/>
    <col min="15" max="15" width="10.140625" customWidth="1"/>
  </cols>
  <sheetData>
    <row r="1" spans="1:14" s="3" customFormat="1" ht="15.75" x14ac:dyDescent="0.25">
      <c r="A1" s="262" t="s">
        <v>83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ht="13.5" customHeight="1" x14ac:dyDescent="0.25">
      <c r="A2" s="264"/>
      <c r="B2" s="264"/>
      <c r="C2" s="264"/>
      <c r="D2" s="264"/>
      <c r="E2" s="265" t="s">
        <v>166</v>
      </c>
      <c r="F2" s="265"/>
      <c r="G2" s="265"/>
      <c r="H2" s="265"/>
      <c r="I2" s="302" t="s">
        <v>45</v>
      </c>
      <c r="J2" s="302"/>
      <c r="K2" s="303"/>
      <c r="L2" s="303"/>
      <c r="M2" s="303"/>
      <c r="N2" s="303"/>
    </row>
    <row r="3" spans="1:14" x14ac:dyDescent="0.2">
      <c r="A3" s="266" t="s">
        <v>92</v>
      </c>
      <c r="B3" s="109"/>
      <c r="C3" s="6" t="s">
        <v>50</v>
      </c>
      <c r="D3" s="106" t="s">
        <v>22</v>
      </c>
      <c r="E3" s="4" t="s">
        <v>23</v>
      </c>
      <c r="F3" s="4" t="s">
        <v>24</v>
      </c>
      <c r="G3" s="268" t="s">
        <v>79</v>
      </c>
      <c r="H3" s="269"/>
      <c r="I3" s="270"/>
      <c r="J3" s="271" t="s">
        <v>70</v>
      </c>
      <c r="K3" s="272"/>
      <c r="L3" s="272"/>
      <c r="M3" s="272"/>
      <c r="N3" s="273"/>
    </row>
    <row r="4" spans="1:14" x14ac:dyDescent="0.2">
      <c r="A4" s="267"/>
      <c r="B4" s="110"/>
      <c r="C4" s="52" t="s">
        <v>49</v>
      </c>
      <c r="D4" s="107" t="s">
        <v>25</v>
      </c>
      <c r="E4" s="5" t="s">
        <v>26</v>
      </c>
      <c r="F4" s="5" t="s">
        <v>27</v>
      </c>
      <c r="G4" s="50" t="s">
        <v>40</v>
      </c>
      <c r="H4" s="50" t="s">
        <v>41</v>
      </c>
      <c r="I4" s="75" t="s">
        <v>40</v>
      </c>
      <c r="J4" s="78" t="s">
        <v>71</v>
      </c>
      <c r="K4" s="77" t="s">
        <v>72</v>
      </c>
      <c r="L4" s="80" t="s">
        <v>80</v>
      </c>
      <c r="M4" s="50" t="s">
        <v>74</v>
      </c>
      <c r="N4" s="77" t="s">
        <v>89</v>
      </c>
    </row>
    <row r="5" spans="1:14" x14ac:dyDescent="0.2">
      <c r="A5" s="267"/>
      <c r="B5" s="111"/>
      <c r="C5" s="9" t="s">
        <v>51</v>
      </c>
      <c r="D5" s="108" t="s">
        <v>28</v>
      </c>
      <c r="E5" s="7" t="s">
        <v>29</v>
      </c>
      <c r="F5" s="8"/>
      <c r="G5" s="48" t="s">
        <v>39</v>
      </c>
      <c r="H5" s="48" t="s">
        <v>42</v>
      </c>
      <c r="I5" s="76" t="s">
        <v>43</v>
      </c>
      <c r="J5" s="49" t="s">
        <v>44</v>
      </c>
      <c r="K5" s="48" t="s">
        <v>38</v>
      </c>
      <c r="L5" s="79" t="s">
        <v>73</v>
      </c>
      <c r="M5" s="84" t="s">
        <v>75</v>
      </c>
      <c r="N5" s="81" t="s">
        <v>76</v>
      </c>
    </row>
    <row r="6" spans="1:14" x14ac:dyDescent="0.2">
      <c r="A6" s="44">
        <v>1</v>
      </c>
      <c r="B6" s="112">
        <v>1</v>
      </c>
      <c r="C6" s="104" t="s">
        <v>46</v>
      </c>
      <c r="D6" s="169">
        <v>171667800</v>
      </c>
      <c r="E6" s="170">
        <v>171667800</v>
      </c>
      <c r="F6" s="94"/>
      <c r="G6" s="140">
        <f>D6</f>
        <v>171667800</v>
      </c>
      <c r="H6" s="94"/>
      <c r="I6" s="96"/>
      <c r="J6" s="94"/>
      <c r="K6" s="96"/>
      <c r="L6" s="96"/>
      <c r="M6" s="91"/>
      <c r="N6" s="91"/>
    </row>
    <row r="7" spans="1:14" x14ac:dyDescent="0.2">
      <c r="A7" s="44">
        <v>2</v>
      </c>
      <c r="B7" s="112">
        <v>2</v>
      </c>
      <c r="C7" s="104" t="s">
        <v>116</v>
      </c>
      <c r="D7" s="90"/>
      <c r="E7" s="86"/>
      <c r="F7" s="86"/>
      <c r="G7" s="86"/>
      <c r="H7" s="86"/>
      <c r="I7" s="97"/>
      <c r="J7" s="86"/>
      <c r="K7" s="97"/>
      <c r="L7" s="97"/>
      <c r="M7" s="91"/>
      <c r="N7" s="91"/>
    </row>
    <row r="8" spans="1:14" x14ac:dyDescent="0.2">
      <c r="A8" s="44"/>
      <c r="B8" s="112"/>
      <c r="C8" s="104" t="s">
        <v>81</v>
      </c>
      <c r="D8" s="90">
        <v>580000</v>
      </c>
      <c r="E8" s="86"/>
      <c r="F8" s="86"/>
      <c r="G8" s="86"/>
      <c r="H8" s="86"/>
      <c r="I8" s="97"/>
      <c r="J8" s="86"/>
      <c r="K8" s="97">
        <v>580000</v>
      </c>
      <c r="L8" s="97"/>
      <c r="M8" s="91"/>
      <c r="N8" s="91"/>
    </row>
    <row r="9" spans="1:14" x14ac:dyDescent="0.2">
      <c r="A9" s="44"/>
      <c r="B9" s="112"/>
      <c r="C9" s="104" t="s">
        <v>88</v>
      </c>
      <c r="D9" s="90">
        <v>88000</v>
      </c>
      <c r="E9" s="86"/>
      <c r="F9" s="86"/>
      <c r="G9" s="86"/>
      <c r="H9" s="86"/>
      <c r="I9" s="97"/>
      <c r="J9" s="86"/>
      <c r="K9" s="97">
        <v>88000</v>
      </c>
      <c r="L9" s="97"/>
      <c r="M9" s="91"/>
      <c r="N9" s="91"/>
    </row>
    <row r="10" spans="1:14" x14ac:dyDescent="0.2">
      <c r="A10" s="44"/>
      <c r="B10" s="112"/>
      <c r="C10" s="104" t="s">
        <v>90</v>
      </c>
      <c r="D10" s="90">
        <v>58000</v>
      </c>
      <c r="E10" s="86"/>
      <c r="F10" s="86"/>
      <c r="G10" s="86"/>
      <c r="H10" s="86"/>
      <c r="I10" s="97"/>
      <c r="J10" s="86"/>
      <c r="K10" s="97"/>
      <c r="L10" s="97"/>
      <c r="M10" s="91"/>
      <c r="N10" s="97">
        <v>58000</v>
      </c>
    </row>
    <row r="11" spans="1:14" x14ac:dyDescent="0.2">
      <c r="A11" s="44"/>
      <c r="B11" s="112"/>
      <c r="C11" s="104" t="s">
        <v>85</v>
      </c>
      <c r="D11" s="90">
        <v>64000</v>
      </c>
      <c r="E11" s="86"/>
      <c r="F11" s="86"/>
      <c r="G11" s="86"/>
      <c r="H11" s="86"/>
      <c r="I11" s="97"/>
      <c r="J11" s="86"/>
      <c r="K11" s="97"/>
      <c r="L11" s="97"/>
      <c r="M11" s="91"/>
      <c r="N11" s="97">
        <v>64000</v>
      </c>
    </row>
    <row r="12" spans="1:14" x14ac:dyDescent="0.2">
      <c r="A12" s="44"/>
      <c r="B12" s="112"/>
      <c r="C12" s="104" t="s">
        <v>86</v>
      </c>
      <c r="D12" s="90">
        <v>160000</v>
      </c>
      <c r="E12" s="86"/>
      <c r="F12" s="86"/>
      <c r="G12" s="86"/>
      <c r="H12" s="86"/>
      <c r="I12" s="97"/>
      <c r="J12" s="86"/>
      <c r="K12" s="97"/>
      <c r="L12" s="97"/>
      <c r="M12" s="91"/>
      <c r="N12" s="97">
        <v>160000</v>
      </c>
    </row>
    <row r="13" spans="1:14" x14ac:dyDescent="0.2">
      <c r="A13" s="44"/>
      <c r="B13" s="112"/>
      <c r="C13" s="104" t="s">
        <v>87</v>
      </c>
      <c r="D13" s="90">
        <v>200000</v>
      </c>
      <c r="E13" s="86"/>
      <c r="F13" s="86"/>
      <c r="G13" s="86"/>
      <c r="H13" s="86"/>
      <c r="I13" s="97"/>
      <c r="J13" s="86"/>
      <c r="K13" s="97"/>
      <c r="L13" s="97"/>
      <c r="M13" s="97">
        <v>200000</v>
      </c>
      <c r="N13" s="91"/>
    </row>
    <row r="14" spans="1:14" x14ac:dyDescent="0.2">
      <c r="A14" s="44"/>
      <c r="B14" s="112"/>
      <c r="C14" s="104" t="s">
        <v>107</v>
      </c>
      <c r="D14" s="90">
        <v>180000</v>
      </c>
      <c r="E14" s="86"/>
      <c r="F14" s="86"/>
      <c r="G14" s="86"/>
      <c r="H14" s="86"/>
      <c r="I14" s="97"/>
      <c r="J14" s="86"/>
      <c r="K14" s="97"/>
      <c r="L14" s="97"/>
      <c r="M14" s="97">
        <v>180000</v>
      </c>
      <c r="N14" s="91"/>
    </row>
    <row r="15" spans="1:14" x14ac:dyDescent="0.2">
      <c r="A15" s="44"/>
      <c r="B15" s="112"/>
      <c r="C15" s="104" t="s">
        <v>91</v>
      </c>
      <c r="D15" s="90">
        <v>77000</v>
      </c>
      <c r="E15" s="86"/>
      <c r="F15" s="86"/>
      <c r="G15" s="86"/>
      <c r="H15" s="86"/>
      <c r="I15" s="97"/>
      <c r="J15" s="86"/>
      <c r="K15" s="97"/>
      <c r="L15" s="97">
        <v>77000</v>
      </c>
      <c r="M15" s="91"/>
      <c r="N15" s="91"/>
    </row>
    <row r="16" spans="1:14" x14ac:dyDescent="0.2">
      <c r="A16" s="44"/>
      <c r="B16" s="112"/>
      <c r="C16" s="104" t="s">
        <v>52</v>
      </c>
      <c r="D16" s="90">
        <v>375000</v>
      </c>
      <c r="E16" s="86"/>
      <c r="F16" s="86">
        <f>D16</f>
        <v>375000</v>
      </c>
      <c r="G16" s="86"/>
      <c r="H16" s="97"/>
      <c r="I16" s="97"/>
      <c r="J16" s="86"/>
      <c r="K16" s="97"/>
      <c r="L16" s="97"/>
      <c r="M16" s="91"/>
      <c r="N16" s="91"/>
    </row>
    <row r="17" spans="1:15" x14ac:dyDescent="0.2">
      <c r="A17" s="44">
        <v>3</v>
      </c>
      <c r="B17" s="112">
        <v>3</v>
      </c>
      <c r="C17" s="104" t="s">
        <v>30</v>
      </c>
      <c r="D17" s="90">
        <f>SUM(F17:N17)</f>
        <v>524000</v>
      </c>
      <c r="E17" s="86">
        <f>SUM(G17:I17)</f>
        <v>83000</v>
      </c>
      <c r="F17" s="86">
        <v>330000</v>
      </c>
      <c r="G17" s="86">
        <v>22000</v>
      </c>
      <c r="H17" s="86">
        <v>25000</v>
      </c>
      <c r="I17" s="97">
        <v>36000</v>
      </c>
      <c r="J17" s="86">
        <v>11000</v>
      </c>
      <c r="K17" s="97">
        <v>27000</v>
      </c>
      <c r="L17" s="97">
        <v>24000</v>
      </c>
      <c r="M17" s="97">
        <v>23000</v>
      </c>
      <c r="N17" s="97">
        <v>26000</v>
      </c>
    </row>
    <row r="18" spans="1:15" x14ac:dyDescent="0.2">
      <c r="A18" s="44">
        <v>4</v>
      </c>
      <c r="B18" s="112">
        <v>4</v>
      </c>
      <c r="C18" s="104" t="s">
        <v>0</v>
      </c>
      <c r="D18" s="90">
        <f>SUM(G18:N18)</f>
        <v>3574300</v>
      </c>
      <c r="E18" s="86">
        <f>SUM(G18:I18)</f>
        <v>3000000</v>
      </c>
      <c r="F18" s="86"/>
      <c r="G18" s="86">
        <v>1000000</v>
      </c>
      <c r="H18" s="86">
        <v>900000</v>
      </c>
      <c r="I18" s="97">
        <v>1100000</v>
      </c>
      <c r="J18" s="86">
        <v>113200</v>
      </c>
      <c r="K18" s="97">
        <v>117600</v>
      </c>
      <c r="L18" s="97">
        <v>114600</v>
      </c>
      <c r="M18" s="97">
        <v>113200</v>
      </c>
      <c r="N18" s="97">
        <v>115700</v>
      </c>
    </row>
    <row r="19" spans="1:15" x14ac:dyDescent="0.2">
      <c r="A19" s="44">
        <v>5</v>
      </c>
      <c r="B19" s="112">
        <v>5</v>
      </c>
      <c r="C19" s="104" t="s">
        <v>1</v>
      </c>
      <c r="D19" s="90">
        <f>SUM(F19:N19)</f>
        <v>372572.72727272729</v>
      </c>
      <c r="E19" s="90">
        <f t="shared" ref="E19:N19" si="0">(E17+E18)/11</f>
        <v>280272.72727272729</v>
      </c>
      <c r="F19" s="90">
        <f t="shared" si="0"/>
        <v>30000</v>
      </c>
      <c r="G19" s="90">
        <f>(G17+G18)/11</f>
        <v>92909.090909090912</v>
      </c>
      <c r="H19" s="90">
        <f>(H17+H18)/11</f>
        <v>84090.909090909088</v>
      </c>
      <c r="I19" s="90">
        <f>(I17+I18)/11</f>
        <v>103272.72727272728</v>
      </c>
      <c r="J19" s="90">
        <f>(J17+J18)/11</f>
        <v>11290.90909090909</v>
      </c>
      <c r="K19" s="90">
        <f t="shared" si="0"/>
        <v>13145.454545454546</v>
      </c>
      <c r="L19" s="90">
        <f t="shared" si="0"/>
        <v>12600</v>
      </c>
      <c r="M19" s="90">
        <f t="shared" si="0"/>
        <v>12381.818181818182</v>
      </c>
      <c r="N19" s="90">
        <f t="shared" si="0"/>
        <v>12881.818181818182</v>
      </c>
    </row>
    <row r="20" spans="1:15" x14ac:dyDescent="0.2">
      <c r="A20" s="44">
        <v>6</v>
      </c>
      <c r="B20" s="112">
        <v>6</v>
      </c>
      <c r="C20" s="104" t="s">
        <v>84</v>
      </c>
      <c r="D20" s="90">
        <f>SUM(F20:N20)</f>
        <v>462816.70909090911</v>
      </c>
      <c r="E20" s="86">
        <f>((E17+E17/11)*9/100)+((E18+E18/11)*10.55/100)</f>
        <v>353421.81818181818</v>
      </c>
      <c r="F20" s="86">
        <f>(F17+F19)/100*9</f>
        <v>32400</v>
      </c>
      <c r="G20" s="86">
        <f t="shared" ref="G20:N20" si="1">((G17+G17/11)*9/100)+((G18+G18/11)*10.55/100)</f>
        <v>117250.90909090909</v>
      </c>
      <c r="H20" s="86">
        <f t="shared" si="1"/>
        <v>106036.36363636366</v>
      </c>
      <c r="I20" s="86">
        <f t="shared" si="1"/>
        <v>130134.54545454546</v>
      </c>
      <c r="J20" s="86">
        <f t="shared" si="1"/>
        <v>14108.290909090911</v>
      </c>
      <c r="K20" s="86">
        <f t="shared" si="1"/>
        <v>16185.600000000002</v>
      </c>
      <c r="L20" s="86">
        <f t="shared" si="1"/>
        <v>15545.78181818182</v>
      </c>
      <c r="M20" s="86">
        <f t="shared" si="1"/>
        <v>15286.472727272729</v>
      </c>
      <c r="N20" s="86">
        <f t="shared" si="1"/>
        <v>15868.745454545455</v>
      </c>
    </row>
    <row r="21" spans="1:15" x14ac:dyDescent="0.2">
      <c r="A21" s="44">
        <v>7</v>
      </c>
      <c r="B21" s="112">
        <v>7</v>
      </c>
      <c r="C21" s="104" t="s">
        <v>2</v>
      </c>
      <c r="D21" s="90">
        <f t="shared" ref="D21:N21" si="2">D19</f>
        <v>372572.72727272729</v>
      </c>
      <c r="E21" s="93">
        <f t="shared" si="2"/>
        <v>280272.72727272729</v>
      </c>
      <c r="F21" s="93">
        <f t="shared" si="2"/>
        <v>30000</v>
      </c>
      <c r="G21" s="93">
        <f t="shared" si="2"/>
        <v>92909.090909090912</v>
      </c>
      <c r="H21" s="93">
        <f t="shared" si="2"/>
        <v>84090.909090909088</v>
      </c>
      <c r="I21" s="93">
        <f t="shared" si="2"/>
        <v>103272.72727272728</v>
      </c>
      <c r="J21" s="93">
        <f t="shared" si="2"/>
        <v>11290.90909090909</v>
      </c>
      <c r="K21" s="93">
        <f t="shared" si="2"/>
        <v>13145.454545454546</v>
      </c>
      <c r="L21" s="93">
        <f t="shared" si="2"/>
        <v>12600</v>
      </c>
      <c r="M21" s="97">
        <f t="shared" si="2"/>
        <v>12381.818181818182</v>
      </c>
      <c r="N21" s="97">
        <f t="shared" si="2"/>
        <v>12881.818181818182</v>
      </c>
    </row>
    <row r="22" spans="1:15" x14ac:dyDescent="0.2">
      <c r="A22" s="44">
        <v>8</v>
      </c>
      <c r="B22" s="112">
        <v>8</v>
      </c>
      <c r="C22" s="104" t="s">
        <v>95</v>
      </c>
      <c r="D22" s="90">
        <f>SUM(F22:N22)</f>
        <v>250000</v>
      </c>
      <c r="E22" s="86">
        <f>SUM(G22:I22)</f>
        <v>107000</v>
      </c>
      <c r="F22" s="86">
        <v>14000</v>
      </c>
      <c r="G22" s="99">
        <v>22000</v>
      </c>
      <c r="H22" s="86">
        <v>28000</v>
      </c>
      <c r="I22" s="97">
        <v>57000</v>
      </c>
      <c r="J22" s="86">
        <v>26000</v>
      </c>
      <c r="K22" s="97">
        <v>35000</v>
      </c>
      <c r="L22" s="97">
        <v>40000</v>
      </c>
      <c r="M22" s="98">
        <v>13000</v>
      </c>
      <c r="N22" s="97">
        <v>15000</v>
      </c>
    </row>
    <row r="23" spans="1:15" x14ac:dyDescent="0.2">
      <c r="A23" s="44">
        <v>9</v>
      </c>
      <c r="B23" s="112">
        <v>9</v>
      </c>
      <c r="C23" s="104" t="s">
        <v>97</v>
      </c>
      <c r="D23" s="90">
        <v>32500</v>
      </c>
      <c r="E23" s="86"/>
      <c r="F23" s="86">
        <v>32500</v>
      </c>
      <c r="G23" s="86"/>
      <c r="H23" s="86"/>
      <c r="I23" s="97"/>
      <c r="J23" s="86"/>
      <c r="K23" s="97"/>
      <c r="L23" s="97"/>
      <c r="M23" s="91"/>
      <c r="N23" s="91"/>
    </row>
    <row r="24" spans="1:15" x14ac:dyDescent="0.2">
      <c r="A24" s="44">
        <v>10</v>
      </c>
      <c r="B24" s="112">
        <v>10</v>
      </c>
      <c r="C24" s="104" t="s">
        <v>98</v>
      </c>
      <c r="D24" s="90">
        <f>SUM(F24:I24)</f>
        <v>94000</v>
      </c>
      <c r="E24" s="86">
        <f>SUM(G24:I24)</f>
        <v>90000</v>
      </c>
      <c r="F24" s="86">
        <v>4000</v>
      </c>
      <c r="G24" s="86">
        <f>(G18/E18)*90000</f>
        <v>30000</v>
      </c>
      <c r="H24" s="86">
        <f>(H18/E18)*90000</f>
        <v>27000</v>
      </c>
      <c r="I24" s="86">
        <f>(I18/E18)*90000</f>
        <v>33000</v>
      </c>
      <c r="J24" s="86"/>
      <c r="K24" s="86"/>
      <c r="L24" s="86"/>
      <c r="M24" s="86"/>
      <c r="N24" s="86"/>
    </row>
    <row r="25" spans="1:15" x14ac:dyDescent="0.2">
      <c r="A25" s="44">
        <v>11</v>
      </c>
      <c r="B25" s="112">
        <v>11</v>
      </c>
      <c r="C25" s="104" t="s">
        <v>33</v>
      </c>
      <c r="D25" s="90">
        <v>90000</v>
      </c>
      <c r="E25" s="86"/>
      <c r="F25" s="86">
        <f>D25</f>
        <v>90000</v>
      </c>
      <c r="G25" s="86"/>
      <c r="H25" s="86"/>
      <c r="I25" s="97"/>
      <c r="J25" s="100"/>
      <c r="K25" s="97"/>
      <c r="L25" s="97"/>
      <c r="M25" s="91"/>
      <c r="N25" s="91"/>
    </row>
    <row r="26" spans="1:15" x14ac:dyDescent="0.2">
      <c r="A26" s="44">
        <v>12</v>
      </c>
      <c r="B26" s="112">
        <v>12</v>
      </c>
      <c r="C26" s="104" t="s">
        <v>96</v>
      </c>
      <c r="D26" s="90">
        <v>45000</v>
      </c>
      <c r="E26" s="86"/>
      <c r="F26" s="86">
        <v>5000</v>
      </c>
      <c r="G26" s="86"/>
      <c r="H26" s="86"/>
      <c r="I26" s="97"/>
      <c r="J26" s="86"/>
      <c r="K26" s="97"/>
      <c r="L26" s="97"/>
      <c r="M26" s="97">
        <v>40000</v>
      </c>
      <c r="N26" s="91"/>
    </row>
    <row r="27" spans="1:15" x14ac:dyDescent="0.2">
      <c r="A27" s="44">
        <v>13</v>
      </c>
      <c r="B27" s="112">
        <v>13</v>
      </c>
      <c r="C27" s="104" t="s">
        <v>99</v>
      </c>
      <c r="D27" s="86">
        <v>1300</v>
      </c>
      <c r="E27" s="93"/>
      <c r="F27" s="86">
        <f>D27</f>
        <v>1300</v>
      </c>
      <c r="G27" s="86"/>
      <c r="H27" s="87"/>
      <c r="I27" s="87"/>
      <c r="J27" s="101"/>
      <c r="K27" s="87"/>
      <c r="L27" s="101"/>
      <c r="M27" s="101"/>
      <c r="N27" s="91" t="s">
        <v>31</v>
      </c>
    </row>
    <row r="28" spans="1:15" x14ac:dyDescent="0.2">
      <c r="A28" s="44">
        <v>14</v>
      </c>
      <c r="B28" s="112">
        <v>14</v>
      </c>
      <c r="C28" s="104" t="s">
        <v>82</v>
      </c>
      <c r="D28" s="90">
        <v>18500</v>
      </c>
      <c r="E28" s="86"/>
      <c r="F28" s="86">
        <f>D28</f>
        <v>18500</v>
      </c>
      <c r="G28" s="86"/>
      <c r="H28" s="86"/>
      <c r="I28" s="97"/>
      <c r="J28" s="86"/>
      <c r="K28" s="97"/>
      <c r="L28" s="97"/>
      <c r="M28" s="91"/>
      <c r="N28" s="91"/>
    </row>
    <row r="29" spans="1:15" x14ac:dyDescent="0.2">
      <c r="A29" s="44">
        <v>15</v>
      </c>
      <c r="B29" s="112">
        <v>15</v>
      </c>
      <c r="C29" s="104" t="s">
        <v>34</v>
      </c>
      <c r="D29" s="90">
        <v>14100</v>
      </c>
      <c r="E29" s="86"/>
      <c r="F29" s="86">
        <f>D29</f>
        <v>14100</v>
      </c>
      <c r="G29" s="86"/>
      <c r="H29" s="86"/>
      <c r="I29" s="97"/>
      <c r="J29" s="86"/>
      <c r="K29" s="97"/>
      <c r="L29" s="97"/>
      <c r="M29" s="91"/>
      <c r="N29" s="91"/>
    </row>
    <row r="30" spans="1:15" x14ac:dyDescent="0.2">
      <c r="A30" s="44">
        <v>16</v>
      </c>
      <c r="B30" s="112">
        <v>16</v>
      </c>
      <c r="C30" s="104" t="s">
        <v>35</v>
      </c>
      <c r="D30" s="90">
        <v>50000</v>
      </c>
      <c r="E30" s="86">
        <f>SUM(G30:I30)</f>
        <v>50000</v>
      </c>
      <c r="F30" s="86"/>
      <c r="G30" s="86">
        <f>G18/E18*D30</f>
        <v>16666.666666666664</v>
      </c>
      <c r="H30" s="86">
        <f>H18/E18*D30</f>
        <v>15000</v>
      </c>
      <c r="I30" s="86">
        <f>I18/E18*D30</f>
        <v>18333.333333333332</v>
      </c>
      <c r="J30" s="86"/>
      <c r="K30" s="86"/>
      <c r="L30" s="86"/>
      <c r="M30" s="86"/>
      <c r="N30" s="86"/>
    </row>
    <row r="31" spans="1:15" x14ac:dyDescent="0.2">
      <c r="A31" s="44">
        <v>17</v>
      </c>
      <c r="B31" s="112">
        <v>17</v>
      </c>
      <c r="C31" s="104" t="s">
        <v>165</v>
      </c>
      <c r="D31" s="90">
        <v>11800</v>
      </c>
      <c r="E31" s="86"/>
      <c r="F31" s="86">
        <f>D31</f>
        <v>11800</v>
      </c>
      <c r="G31" s="86"/>
      <c r="H31" s="86"/>
      <c r="I31" s="97"/>
      <c r="J31" s="86"/>
      <c r="K31" s="97"/>
      <c r="L31" s="97"/>
      <c r="M31" s="91"/>
      <c r="N31" s="91"/>
    </row>
    <row r="32" spans="1:15" x14ac:dyDescent="0.2">
      <c r="A32" s="44">
        <v>18</v>
      </c>
      <c r="B32" s="112">
        <v>18</v>
      </c>
      <c r="C32" s="104" t="s">
        <v>100</v>
      </c>
      <c r="D32" s="90">
        <v>22000</v>
      </c>
      <c r="E32" s="86"/>
      <c r="F32" s="86">
        <f>D32</f>
        <v>22000</v>
      </c>
      <c r="G32" s="86"/>
      <c r="H32" s="86"/>
      <c r="I32" s="97"/>
      <c r="J32" s="86"/>
      <c r="K32" s="97"/>
      <c r="L32" s="97"/>
      <c r="M32" s="91"/>
      <c r="N32" s="91"/>
      <c r="O32" s="41"/>
    </row>
    <row r="33" spans="1:15" x14ac:dyDescent="0.2">
      <c r="A33" s="54">
        <v>19</v>
      </c>
      <c r="B33" s="112">
        <v>19</v>
      </c>
      <c r="C33" s="105" t="s">
        <v>36</v>
      </c>
      <c r="D33" s="105">
        <f>SUM(F33:N33)</f>
        <v>116396500</v>
      </c>
      <c r="E33" s="171">
        <v>113860000</v>
      </c>
      <c r="F33" s="87">
        <v>431500</v>
      </c>
      <c r="G33" s="87">
        <f>1000000/3000000*113860000</f>
        <v>37953333.333333328</v>
      </c>
      <c r="H33" s="105">
        <f>900000/3000000*113860000</f>
        <v>34158000</v>
      </c>
      <c r="I33" s="105">
        <f>1100000/3000000*113860000</f>
        <v>41748666.666666664</v>
      </c>
      <c r="J33" s="101">
        <v>300000</v>
      </c>
      <c r="K33" s="87">
        <v>340000</v>
      </c>
      <c r="L33" s="101">
        <v>660000</v>
      </c>
      <c r="M33" s="101">
        <v>240000</v>
      </c>
      <c r="N33" s="101">
        <v>565000</v>
      </c>
      <c r="O33" s="41"/>
    </row>
    <row r="34" spans="1:15" x14ac:dyDescent="0.2">
      <c r="A34" s="1"/>
      <c r="B34" s="113"/>
      <c r="C34" s="103" t="s">
        <v>77</v>
      </c>
      <c r="D34" s="172">
        <f t="shared" ref="D34:N34" si="3">SUM(D6:D33)</f>
        <v>295781762.16363633</v>
      </c>
      <c r="E34" s="173">
        <f>SUM(E6:E33)</f>
        <v>289771767.27272725</v>
      </c>
      <c r="F34" s="105">
        <f t="shared" si="3"/>
        <v>1442100</v>
      </c>
      <c r="G34" s="104">
        <f t="shared" si="3"/>
        <v>211014869.09090906</v>
      </c>
      <c r="H34" s="104">
        <f t="shared" si="3"/>
        <v>35427218.18181818</v>
      </c>
      <c r="I34" s="104">
        <f t="shared" si="3"/>
        <v>43329680</v>
      </c>
      <c r="J34" s="97">
        <f t="shared" si="3"/>
        <v>486890.10909090913</v>
      </c>
      <c r="K34" s="104">
        <f t="shared" si="3"/>
        <v>1230076.5090909093</v>
      </c>
      <c r="L34" s="97">
        <f t="shared" si="3"/>
        <v>956345.78181818186</v>
      </c>
      <c r="M34" s="97">
        <f t="shared" si="3"/>
        <v>849250.10909090925</v>
      </c>
      <c r="N34" s="91">
        <f t="shared" si="3"/>
        <v>1045332.3818181818</v>
      </c>
      <c r="O34" s="41"/>
    </row>
    <row r="35" spans="1:15" s="12" customFormat="1" x14ac:dyDescent="0.2">
      <c r="A35" s="83"/>
      <c r="B35" s="111">
        <v>20</v>
      </c>
      <c r="C35" s="82" t="s">
        <v>78</v>
      </c>
      <c r="D35" s="92"/>
      <c r="E35" s="304">
        <v>4567894.8899999997</v>
      </c>
      <c r="F35" s="130"/>
      <c r="G35" s="102">
        <v>1522631.63</v>
      </c>
      <c r="H35" s="130">
        <v>1370368.47</v>
      </c>
      <c r="I35" s="174">
        <v>1674894.79</v>
      </c>
      <c r="J35" s="132"/>
      <c r="K35" s="132"/>
      <c r="L35" s="132"/>
      <c r="M35" s="132"/>
      <c r="N35" s="92"/>
      <c r="O35" s="85"/>
    </row>
    <row r="36" spans="1:15" x14ac:dyDescent="0.2">
      <c r="A36" s="44">
        <v>20</v>
      </c>
      <c r="B36" s="112"/>
      <c r="C36" s="10"/>
      <c r="D36" s="1"/>
      <c r="E36" s="88"/>
      <c r="F36" s="94"/>
      <c r="G36" s="86"/>
      <c r="H36" s="86"/>
      <c r="I36" s="86"/>
      <c r="J36" s="97"/>
      <c r="K36" s="86"/>
      <c r="L36" s="97"/>
      <c r="M36" s="97"/>
      <c r="N36" s="91"/>
      <c r="O36" s="41"/>
    </row>
    <row r="37" spans="1:15" ht="13.5" thickBot="1" x14ac:dyDescent="0.25">
      <c r="A37" s="44"/>
      <c r="B37" s="112"/>
      <c r="C37" s="10" t="s">
        <v>124</v>
      </c>
      <c r="D37" s="172">
        <f>SUM(D34+D35)</f>
        <v>295781762.16363633</v>
      </c>
      <c r="E37" s="172">
        <f>SUM(E34+E35)</f>
        <v>294339662.16272724</v>
      </c>
      <c r="F37" s="172">
        <f>SUM(F34+F35)</f>
        <v>1442100</v>
      </c>
      <c r="G37" s="175">
        <f>SUM(G34+G35)</f>
        <v>212537500.72090906</v>
      </c>
      <c r="H37" s="175">
        <f>SUM(H34:H35)</f>
        <v>36797586.651818179</v>
      </c>
      <c r="I37" s="175">
        <f>SUM(I34+I35)</f>
        <v>45004574.789999999</v>
      </c>
      <c r="J37" s="95">
        <f>SUM(J34:J36)</f>
        <v>486890.10909090913</v>
      </c>
      <c r="K37" s="175">
        <f>SUM(K34:K36)</f>
        <v>1230076.5090909093</v>
      </c>
      <c r="L37" s="95">
        <f>SUM(L34:L36)</f>
        <v>956345.78181818186</v>
      </c>
      <c r="M37" s="95">
        <f>SUM(M34:M36)</f>
        <v>849250.10909090925</v>
      </c>
      <c r="N37" s="91">
        <f>SUM(N34:N36)</f>
        <v>1045332.3818181818</v>
      </c>
      <c r="O37" s="41"/>
    </row>
    <row r="38" spans="1:15" ht="13.5" thickTop="1" x14ac:dyDescent="0.2">
      <c r="C38" s="274" t="s">
        <v>47</v>
      </c>
      <c r="D38" s="274"/>
      <c r="E38" s="274"/>
      <c r="F38" s="274"/>
      <c r="G38" s="274"/>
      <c r="H38" s="143"/>
      <c r="I38" s="263" t="s">
        <v>32</v>
      </c>
      <c r="J38" s="263"/>
      <c r="K38" s="263"/>
      <c r="L38" s="263"/>
      <c r="M38" s="263"/>
    </row>
    <row r="39" spans="1:15" x14ac:dyDescent="0.2">
      <c r="C39" s="13"/>
      <c r="D39" s="14"/>
      <c r="E39" s="15"/>
      <c r="F39" s="16"/>
      <c r="G39" s="16"/>
      <c r="H39" s="14"/>
      <c r="I39" s="14"/>
      <c r="J39" s="14"/>
      <c r="K39" s="2"/>
      <c r="L39" s="2"/>
      <c r="M39" s="2"/>
    </row>
    <row r="40" spans="1:15" x14ac:dyDescent="0.2">
      <c r="C40" s="17"/>
      <c r="D40" s="18"/>
      <c r="E40" s="19"/>
      <c r="F40" s="20"/>
      <c r="G40" s="20"/>
      <c r="H40" s="20"/>
      <c r="I40" s="20"/>
      <c r="J40" s="19"/>
      <c r="K40" s="2"/>
      <c r="L40" s="2"/>
      <c r="M40" s="2"/>
    </row>
  </sheetData>
  <mergeCells count="9">
    <mergeCell ref="A1:N1"/>
    <mergeCell ref="I38:M38"/>
    <mergeCell ref="A2:D2"/>
    <mergeCell ref="E2:H2"/>
    <mergeCell ref="A3:A5"/>
    <mergeCell ref="G3:I3"/>
    <mergeCell ref="I2:N2"/>
    <mergeCell ref="J3:N3"/>
    <mergeCell ref="C38:G38"/>
  </mergeCells>
  <phoneticPr fontId="0" type="noConversion"/>
  <printOptions horizontalCentered="1"/>
  <pageMargins left="0.17" right="0.13" top="0.75" bottom="0.49" header="0.56000000000000005" footer="0.26"/>
  <pageSetup paperSize="9" fitToWidth="0" orientation="landscape" horizontalDpi="120" verticalDpi="144" r:id="rId1"/>
  <headerFooter alignWithMargins="0">
    <oddHeader>&amp;C&amp;"Monotype Corsiva,Normal"CPCC. Yónel Chocano Figueroa. &amp;"Arial Narrow,Normal"Docente en Ciencias Contables y Financieras. UNHEVAL.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87"/>
  <sheetViews>
    <sheetView view="pageLayout" topLeftCell="A43" zoomScaleSheetLayoutView="75" workbookViewId="0">
      <selection activeCell="E191" sqref="E191"/>
    </sheetView>
  </sheetViews>
  <sheetFormatPr baseColWidth="10" defaultRowHeight="12.75" x14ac:dyDescent="0.2"/>
  <cols>
    <col min="1" max="1" width="4.140625" customWidth="1"/>
    <col min="2" max="2" width="8.28515625" style="32" customWidth="1"/>
    <col min="3" max="3" width="45.85546875" customWidth="1"/>
    <col min="4" max="5" width="15.85546875" style="2" customWidth="1"/>
    <col min="6" max="6" width="14.28515625" style="2" customWidth="1"/>
    <col min="8" max="9" width="11.7109375" bestFit="1" customWidth="1"/>
  </cols>
  <sheetData>
    <row r="1" spans="1:6" x14ac:dyDescent="0.2">
      <c r="A1" s="264" t="s">
        <v>130</v>
      </c>
      <c r="B1" s="264"/>
      <c r="C1" s="264"/>
      <c r="D1" s="264"/>
      <c r="E1" s="264"/>
      <c r="F1" s="264"/>
    </row>
    <row r="2" spans="1:6" x14ac:dyDescent="0.2">
      <c r="A2" s="1"/>
      <c r="B2" s="30"/>
      <c r="C2" s="24">
        <v>1</v>
      </c>
      <c r="D2" s="11"/>
      <c r="E2" s="11"/>
      <c r="F2" s="11"/>
    </row>
    <row r="3" spans="1:6" x14ac:dyDescent="0.2">
      <c r="A3" s="1">
        <v>97</v>
      </c>
      <c r="B3" s="30"/>
      <c r="C3" s="25" t="s">
        <v>3</v>
      </c>
      <c r="D3" s="11"/>
      <c r="E3" s="11">
        <f>SUM(D4:D5)</f>
        <v>174667800</v>
      </c>
      <c r="F3" s="11"/>
    </row>
    <row r="4" spans="1:6" x14ac:dyDescent="0.2">
      <c r="A4" s="1"/>
      <c r="B4" s="30">
        <v>9701</v>
      </c>
      <c r="C4" s="25" t="s">
        <v>12</v>
      </c>
      <c r="D4" s="11">
        <v>3000000</v>
      </c>
      <c r="E4" s="11"/>
      <c r="F4" s="11"/>
    </row>
    <row r="5" spans="1:6" x14ac:dyDescent="0.2">
      <c r="A5" s="1"/>
      <c r="B5" s="30">
        <v>9702</v>
      </c>
      <c r="C5" s="135" t="s">
        <v>127</v>
      </c>
      <c r="D5" s="11">
        <v>171667800</v>
      </c>
      <c r="E5" s="11"/>
      <c r="F5" s="11"/>
    </row>
    <row r="6" spans="1:6" x14ac:dyDescent="0.2">
      <c r="A6" s="1">
        <v>90</v>
      </c>
      <c r="B6" s="30"/>
      <c r="C6" s="25" t="s">
        <v>4</v>
      </c>
      <c r="D6" s="11"/>
      <c r="E6" s="11"/>
      <c r="F6" s="11">
        <f>D7</f>
        <v>174667800</v>
      </c>
    </row>
    <row r="7" spans="1:6" x14ac:dyDescent="0.2">
      <c r="A7" s="1"/>
      <c r="B7" s="30">
        <v>9001</v>
      </c>
      <c r="C7" s="135" t="s">
        <v>152</v>
      </c>
      <c r="D7" s="11">
        <f>E3</f>
        <v>174667800</v>
      </c>
      <c r="E7" s="11"/>
      <c r="F7" s="11"/>
    </row>
    <row r="8" spans="1:6" x14ac:dyDescent="0.2">
      <c r="A8" s="1"/>
      <c r="B8" s="30"/>
      <c r="C8" s="24">
        <v>2</v>
      </c>
      <c r="D8" s="11"/>
      <c r="E8" s="11"/>
      <c r="F8" s="11"/>
    </row>
    <row r="9" spans="1:6" x14ac:dyDescent="0.2">
      <c r="A9" s="1">
        <v>97</v>
      </c>
      <c r="B9" s="30"/>
      <c r="C9" s="25" t="s">
        <v>3</v>
      </c>
      <c r="D9" s="11"/>
      <c r="E9" s="11">
        <f>D10</f>
        <v>1782000</v>
      </c>
      <c r="F9" s="11"/>
    </row>
    <row r="10" spans="1:6" x14ac:dyDescent="0.2">
      <c r="A10" s="1"/>
      <c r="B10" s="30">
        <v>9403</v>
      </c>
      <c r="C10" s="135" t="s">
        <v>115</v>
      </c>
      <c r="D10" s="11">
        <f>D16</f>
        <v>1782000</v>
      </c>
      <c r="E10" s="11"/>
      <c r="F10" s="11"/>
    </row>
    <row r="11" spans="1:6" x14ac:dyDescent="0.2">
      <c r="A11" s="1">
        <v>90</v>
      </c>
      <c r="B11" s="30"/>
      <c r="C11" s="25" t="s">
        <v>4</v>
      </c>
      <c r="D11" s="11"/>
      <c r="E11" s="11"/>
      <c r="F11" s="11">
        <f>D12</f>
        <v>1782000</v>
      </c>
    </row>
    <row r="12" spans="1:6" x14ac:dyDescent="0.2">
      <c r="A12" s="1"/>
      <c r="B12" s="30">
        <v>9002</v>
      </c>
      <c r="C12" s="135" t="s">
        <v>153</v>
      </c>
      <c r="D12" s="11">
        <f>D10</f>
        <v>1782000</v>
      </c>
      <c r="E12" s="11"/>
      <c r="F12" s="11"/>
    </row>
    <row r="13" spans="1:6" x14ac:dyDescent="0.2">
      <c r="A13" s="1"/>
      <c r="B13" s="30"/>
      <c r="C13" s="24">
        <v>3</v>
      </c>
      <c r="D13" s="11"/>
      <c r="E13" s="11"/>
      <c r="F13" s="11"/>
    </row>
    <row r="14" spans="1:6" x14ac:dyDescent="0.2">
      <c r="A14" s="1">
        <v>91</v>
      </c>
      <c r="B14" s="30"/>
      <c r="C14" s="47" t="s">
        <v>5</v>
      </c>
      <c r="D14" s="22"/>
      <c r="E14" s="11">
        <f>SUM(D15:D33)</f>
        <v>295781762.16363633</v>
      </c>
      <c r="F14" s="11"/>
    </row>
    <row r="15" spans="1:6" x14ac:dyDescent="0.2">
      <c r="A15" s="1"/>
      <c r="B15" s="30">
        <v>9101</v>
      </c>
      <c r="C15" s="161" t="s">
        <v>46</v>
      </c>
      <c r="D15" s="11">
        <f>'CC borrador'!D6</f>
        <v>171667800</v>
      </c>
      <c r="E15" s="11"/>
      <c r="F15" s="11"/>
    </row>
    <row r="16" spans="1:6" x14ac:dyDescent="0.2">
      <c r="A16" s="1"/>
      <c r="B16" s="46">
        <v>9102</v>
      </c>
      <c r="C16" s="160" t="s">
        <v>116</v>
      </c>
      <c r="D16" s="144">
        <f>SUM('CC borrador'!D8:D16)</f>
        <v>1782000</v>
      </c>
      <c r="E16" s="11"/>
      <c r="F16" s="11"/>
    </row>
    <row r="17" spans="1:6" x14ac:dyDescent="0.2">
      <c r="A17" s="1"/>
      <c r="B17" s="30">
        <v>9103</v>
      </c>
      <c r="C17" s="161" t="s">
        <v>30</v>
      </c>
      <c r="D17" s="11">
        <f>'CC borrador'!D17</f>
        <v>524000</v>
      </c>
      <c r="E17" s="11"/>
      <c r="F17" s="11"/>
    </row>
    <row r="18" spans="1:6" x14ac:dyDescent="0.2">
      <c r="A18" s="1"/>
      <c r="B18" s="156">
        <v>9104</v>
      </c>
      <c r="C18" s="160" t="s">
        <v>0</v>
      </c>
      <c r="D18" s="144">
        <f>'CC borrador'!D18</f>
        <v>3574300</v>
      </c>
      <c r="E18" s="11"/>
      <c r="F18" s="11"/>
    </row>
    <row r="19" spans="1:6" x14ac:dyDescent="0.2">
      <c r="A19" s="1"/>
      <c r="B19" s="30">
        <v>9105</v>
      </c>
      <c r="C19" s="161" t="s">
        <v>1</v>
      </c>
      <c r="D19" s="11">
        <f>'CC borrador'!D19</f>
        <v>372572.72727272729</v>
      </c>
      <c r="E19" s="11"/>
      <c r="F19" s="11"/>
    </row>
    <row r="20" spans="1:6" x14ac:dyDescent="0.2">
      <c r="A20" s="1"/>
      <c r="B20" s="156">
        <v>9106</v>
      </c>
      <c r="C20" s="160" t="s">
        <v>84</v>
      </c>
      <c r="D20" s="144">
        <f>'CC borrador'!D20</f>
        <v>462816.70909090911</v>
      </c>
      <c r="E20" s="11"/>
      <c r="F20" s="11"/>
    </row>
    <row r="21" spans="1:6" x14ac:dyDescent="0.2">
      <c r="A21" s="1"/>
      <c r="B21" s="30">
        <v>9107</v>
      </c>
      <c r="C21" s="161" t="s">
        <v>2</v>
      </c>
      <c r="D21" s="11">
        <f>'CC borrador'!D21</f>
        <v>372572.72727272729</v>
      </c>
      <c r="E21" s="11"/>
      <c r="F21" s="11"/>
    </row>
    <row r="22" spans="1:6" x14ac:dyDescent="0.2">
      <c r="A22" s="1"/>
      <c r="B22" s="156">
        <v>9108</v>
      </c>
      <c r="C22" s="160" t="s">
        <v>95</v>
      </c>
      <c r="D22" s="144">
        <f>'CC borrador'!D22</f>
        <v>250000</v>
      </c>
      <c r="E22" s="11"/>
      <c r="F22" s="11"/>
    </row>
    <row r="23" spans="1:6" x14ac:dyDescent="0.2">
      <c r="A23" s="1"/>
      <c r="B23" s="30">
        <v>9109</v>
      </c>
      <c r="C23" s="161" t="s">
        <v>97</v>
      </c>
      <c r="D23" s="11">
        <f>'CC borrador'!D23</f>
        <v>32500</v>
      </c>
      <c r="E23" s="11"/>
      <c r="F23" s="11"/>
    </row>
    <row r="24" spans="1:6" x14ac:dyDescent="0.2">
      <c r="A24" s="1"/>
      <c r="B24" s="156">
        <v>9110</v>
      </c>
      <c r="C24" s="160" t="s">
        <v>98</v>
      </c>
      <c r="D24" s="144">
        <f>'CC borrador'!D24</f>
        <v>94000</v>
      </c>
      <c r="E24" s="11"/>
      <c r="F24" s="11"/>
    </row>
    <row r="25" spans="1:6" x14ac:dyDescent="0.2">
      <c r="A25" s="1"/>
      <c r="B25" s="30">
        <v>9111</v>
      </c>
      <c r="C25" s="161" t="s">
        <v>33</v>
      </c>
      <c r="D25" s="11">
        <f>'CC borrador'!D25</f>
        <v>90000</v>
      </c>
      <c r="E25" s="11"/>
      <c r="F25" s="11"/>
    </row>
    <row r="26" spans="1:6" x14ac:dyDescent="0.2">
      <c r="A26" s="1"/>
      <c r="B26" s="156">
        <v>9112</v>
      </c>
      <c r="C26" s="160" t="s">
        <v>96</v>
      </c>
      <c r="D26" s="144">
        <f>'CC borrador'!D26</f>
        <v>45000</v>
      </c>
      <c r="E26" s="11"/>
      <c r="F26" s="11"/>
    </row>
    <row r="27" spans="1:6" x14ac:dyDescent="0.2">
      <c r="A27" s="1"/>
      <c r="B27" s="30">
        <v>9113</v>
      </c>
      <c r="C27" s="161" t="s">
        <v>99</v>
      </c>
      <c r="D27" s="11">
        <f>'CC borrador'!D27</f>
        <v>1300</v>
      </c>
      <c r="E27" s="11"/>
      <c r="F27" s="11"/>
    </row>
    <row r="28" spans="1:6" x14ac:dyDescent="0.2">
      <c r="A28" s="1"/>
      <c r="B28" s="156">
        <v>9114</v>
      </c>
      <c r="C28" s="160" t="s">
        <v>82</v>
      </c>
      <c r="D28" s="144">
        <f>'CC borrador'!D28</f>
        <v>18500</v>
      </c>
      <c r="E28" s="11"/>
      <c r="F28" s="11"/>
    </row>
    <row r="29" spans="1:6" x14ac:dyDescent="0.2">
      <c r="A29" s="1"/>
      <c r="B29" s="30">
        <v>9115</v>
      </c>
      <c r="C29" s="161" t="s">
        <v>34</v>
      </c>
      <c r="D29" s="11">
        <f>'CC borrador'!D29</f>
        <v>14100</v>
      </c>
      <c r="E29" s="11"/>
      <c r="F29" s="11"/>
    </row>
    <row r="30" spans="1:6" x14ac:dyDescent="0.2">
      <c r="A30" s="1"/>
      <c r="B30" s="156">
        <v>9116</v>
      </c>
      <c r="C30" s="160" t="s">
        <v>35</v>
      </c>
      <c r="D30" s="144">
        <f>'CC borrador'!D30</f>
        <v>50000</v>
      </c>
      <c r="E30" s="11"/>
      <c r="F30" s="11"/>
    </row>
    <row r="31" spans="1:6" x14ac:dyDescent="0.2">
      <c r="A31" s="1"/>
      <c r="B31" s="30">
        <v>9117</v>
      </c>
      <c r="C31" s="161" t="s">
        <v>167</v>
      </c>
      <c r="D31" s="11">
        <f>'CC borrador'!D31</f>
        <v>11800</v>
      </c>
      <c r="E31" s="11"/>
      <c r="F31" s="11"/>
    </row>
    <row r="32" spans="1:6" x14ac:dyDescent="0.2">
      <c r="A32" s="1"/>
      <c r="B32" s="156">
        <v>9118</v>
      </c>
      <c r="C32" s="160" t="s">
        <v>100</v>
      </c>
      <c r="D32" s="144">
        <f>'CC borrador'!D32</f>
        <v>22000</v>
      </c>
      <c r="E32" s="11"/>
      <c r="F32" s="11"/>
    </row>
    <row r="33" spans="1:9" x14ac:dyDescent="0.2">
      <c r="A33" s="1"/>
      <c r="B33" s="30">
        <v>9119</v>
      </c>
      <c r="C33" s="161" t="s">
        <v>36</v>
      </c>
      <c r="D33" s="11">
        <f>'CC borrador'!D33</f>
        <v>116396500</v>
      </c>
      <c r="E33" s="11"/>
      <c r="F33" s="11"/>
    </row>
    <row r="34" spans="1:9" x14ac:dyDescent="0.2">
      <c r="A34" s="1">
        <v>97</v>
      </c>
      <c r="B34" s="30"/>
      <c r="C34" s="27" t="s">
        <v>6</v>
      </c>
      <c r="D34" s="11"/>
      <c r="E34" s="11"/>
      <c r="F34" s="11">
        <f>SUM(D35:D36)</f>
        <v>173449800</v>
      </c>
    </row>
    <row r="35" spans="1:9" x14ac:dyDescent="0.2">
      <c r="A35" s="1"/>
      <c r="B35" s="30">
        <v>9702</v>
      </c>
      <c r="C35" s="28" t="str">
        <f>C15</f>
        <v>Materias primas</v>
      </c>
      <c r="D35" s="11">
        <f>D15</f>
        <v>171667800</v>
      </c>
      <c r="E35" s="11"/>
      <c r="F35" s="11"/>
      <c r="H35" s="2"/>
    </row>
    <row r="36" spans="1:9" x14ac:dyDescent="0.2">
      <c r="A36" s="1"/>
      <c r="B36" s="31">
        <v>9703</v>
      </c>
      <c r="C36" s="141" t="s">
        <v>116</v>
      </c>
      <c r="D36" s="11">
        <f>D16</f>
        <v>1782000</v>
      </c>
      <c r="E36" s="11"/>
      <c r="F36" s="11"/>
    </row>
    <row r="37" spans="1:9" x14ac:dyDescent="0.2">
      <c r="A37" s="1">
        <v>90</v>
      </c>
      <c r="B37" s="30"/>
      <c r="C37" s="29" t="s">
        <v>4</v>
      </c>
      <c r="D37" s="11"/>
      <c r="E37" s="11"/>
      <c r="F37" s="11">
        <f>SUM(D38:D43)</f>
        <v>122331962.16363636</v>
      </c>
    </row>
    <row r="38" spans="1:9" x14ac:dyDescent="0.2">
      <c r="A38" s="1"/>
      <c r="B38" s="31">
        <v>9003</v>
      </c>
      <c r="C38" s="141" t="s">
        <v>117</v>
      </c>
      <c r="D38" s="11">
        <f>SUM('CC borrador'!D17:D21)</f>
        <v>5306262.163636364</v>
      </c>
      <c r="E38" s="11"/>
      <c r="F38" s="11"/>
    </row>
    <row r="39" spans="1:9" x14ac:dyDescent="0.2">
      <c r="A39" s="1"/>
      <c r="B39" s="30">
        <v>9004</v>
      </c>
      <c r="C39" s="141" t="s">
        <v>118</v>
      </c>
      <c r="D39" s="11">
        <f>SUM('CC borrador'!D22:D27)</f>
        <v>512800</v>
      </c>
      <c r="E39" s="11"/>
      <c r="F39" s="11"/>
    </row>
    <row r="40" spans="1:9" x14ac:dyDescent="0.2">
      <c r="A40" s="1"/>
      <c r="B40" s="31">
        <v>9005</v>
      </c>
      <c r="C40" s="141" t="s">
        <v>119</v>
      </c>
      <c r="D40" s="11">
        <f>SUM('CC borrador'!D28:D29)</f>
        <v>32600</v>
      </c>
      <c r="E40" s="11"/>
      <c r="F40" s="11"/>
      <c r="I40" s="2"/>
    </row>
    <row r="41" spans="1:9" x14ac:dyDescent="0.2">
      <c r="A41" s="1"/>
      <c r="B41" s="30">
        <v>9006</v>
      </c>
      <c r="C41" s="141" t="s">
        <v>120</v>
      </c>
      <c r="D41" s="11">
        <f>SUM('CC borrador'!D30:D31)</f>
        <v>61800</v>
      </c>
      <c r="E41" s="11"/>
      <c r="F41" s="11"/>
    </row>
    <row r="42" spans="1:9" x14ac:dyDescent="0.2">
      <c r="A42" s="1"/>
      <c r="B42" s="31">
        <v>9007</v>
      </c>
      <c r="C42" s="141" t="s">
        <v>121</v>
      </c>
      <c r="D42" s="11">
        <f>'CC borrador'!D32</f>
        <v>22000</v>
      </c>
      <c r="E42" s="11"/>
      <c r="F42" s="11"/>
    </row>
    <row r="43" spans="1:9" x14ac:dyDescent="0.2">
      <c r="A43" s="1"/>
      <c r="B43" s="30">
        <v>9008</v>
      </c>
      <c r="C43" s="141" t="s">
        <v>122</v>
      </c>
      <c r="D43" s="11">
        <v>116396500</v>
      </c>
      <c r="E43" s="11"/>
      <c r="F43" s="11"/>
    </row>
    <row r="44" spans="1:9" x14ac:dyDescent="0.2">
      <c r="A44" s="1"/>
      <c r="B44" s="30"/>
      <c r="C44" s="24">
        <v>4</v>
      </c>
      <c r="D44" s="11"/>
      <c r="E44" s="11"/>
      <c r="F44" s="11"/>
    </row>
    <row r="45" spans="1:9" x14ac:dyDescent="0.2">
      <c r="A45" s="1">
        <v>92</v>
      </c>
      <c r="B45" s="30"/>
      <c r="C45" s="142" t="s">
        <v>123</v>
      </c>
      <c r="D45" s="11"/>
      <c r="E45" s="11">
        <f>SUM(D46:D56)</f>
        <v>212537500.72090906</v>
      </c>
      <c r="F45" s="11"/>
    </row>
    <row r="46" spans="1:9" x14ac:dyDescent="0.2">
      <c r="A46" s="1"/>
      <c r="B46" s="34">
        <v>9201</v>
      </c>
      <c r="C46" s="151" t="s">
        <v>127</v>
      </c>
      <c r="D46" s="22">
        <f>'CC borrador'!G6</f>
        <v>171667800</v>
      </c>
      <c r="E46" s="11"/>
      <c r="F46" s="11"/>
    </row>
    <row r="47" spans="1:9" x14ac:dyDescent="0.2">
      <c r="A47" s="1"/>
      <c r="B47" s="34">
        <v>9202</v>
      </c>
      <c r="C47" s="151" t="s">
        <v>30</v>
      </c>
      <c r="D47" s="22">
        <f>'CC borrador'!G17</f>
        <v>22000</v>
      </c>
      <c r="E47" s="11"/>
      <c r="F47" s="11"/>
    </row>
    <row r="48" spans="1:9" x14ac:dyDescent="0.2">
      <c r="A48" s="1"/>
      <c r="B48" s="34">
        <v>9203</v>
      </c>
      <c r="C48" s="145" t="str">
        <f>'CC borrador'!C18</f>
        <v>Salarios</v>
      </c>
      <c r="D48" s="11">
        <f>'CC borrador'!G18</f>
        <v>1000000</v>
      </c>
      <c r="E48" s="11"/>
      <c r="F48" s="11"/>
      <c r="H48" s="2"/>
    </row>
    <row r="49" spans="1:6" x14ac:dyDescent="0.2">
      <c r="A49" s="1"/>
      <c r="B49" s="34">
        <v>9204</v>
      </c>
      <c r="C49" s="145" t="str">
        <f>'CC borrador'!C19</f>
        <v>Vacaciones</v>
      </c>
      <c r="D49" s="11">
        <f>'CC borrador'!G19</f>
        <v>92909.090909090912</v>
      </c>
      <c r="E49" s="11"/>
      <c r="F49" s="11"/>
    </row>
    <row r="50" spans="1:6" x14ac:dyDescent="0.2">
      <c r="A50" s="1"/>
      <c r="B50" s="34">
        <v>9205</v>
      </c>
      <c r="C50" s="145" t="str">
        <f>'CC borrador'!C20</f>
        <v>Seguridad y previsión social</v>
      </c>
      <c r="D50" s="11">
        <f>'CC borrador'!G20</f>
        <v>117250.90909090909</v>
      </c>
      <c r="E50" s="11"/>
      <c r="F50" s="11"/>
    </row>
    <row r="51" spans="1:6" x14ac:dyDescent="0.2">
      <c r="A51" s="1"/>
      <c r="B51" s="34">
        <v>9206</v>
      </c>
      <c r="C51" s="186" t="s">
        <v>2</v>
      </c>
      <c r="D51" s="11">
        <f>'CC borrador'!G21</f>
        <v>92909.090909090912</v>
      </c>
      <c r="E51" s="11"/>
      <c r="F51" s="11"/>
    </row>
    <row r="52" spans="1:6" x14ac:dyDescent="0.2">
      <c r="A52" s="1"/>
      <c r="B52" s="34">
        <v>9207</v>
      </c>
      <c r="C52" s="187" t="s">
        <v>95</v>
      </c>
      <c r="D52" s="11">
        <f>'CC borrador'!G22</f>
        <v>22000</v>
      </c>
      <c r="E52" s="11"/>
      <c r="F52" s="11"/>
    </row>
    <row r="53" spans="1:6" x14ac:dyDescent="0.2">
      <c r="A53" s="1"/>
      <c r="B53" s="34">
        <v>9208</v>
      </c>
      <c r="C53" s="186" t="s">
        <v>98</v>
      </c>
      <c r="D53" s="11">
        <f>'CC borrador'!G24</f>
        <v>30000</v>
      </c>
      <c r="E53" s="11"/>
      <c r="F53" s="11"/>
    </row>
    <row r="54" spans="1:6" x14ac:dyDescent="0.2">
      <c r="A54" s="1"/>
      <c r="B54" s="34">
        <v>9209</v>
      </c>
      <c r="C54" s="188" t="s">
        <v>35</v>
      </c>
      <c r="D54" s="11">
        <f>'CC borrador'!G30</f>
        <v>16666.666666666664</v>
      </c>
      <c r="E54" s="11"/>
      <c r="F54" s="11"/>
    </row>
    <row r="55" spans="1:6" x14ac:dyDescent="0.2">
      <c r="A55" s="1"/>
      <c r="B55" s="34">
        <v>9210</v>
      </c>
      <c r="C55" s="147" t="s">
        <v>36</v>
      </c>
      <c r="D55" s="11">
        <f>'CC borrador'!G33</f>
        <v>37953333.333333328</v>
      </c>
      <c r="E55" s="11"/>
      <c r="F55" s="11"/>
    </row>
    <row r="56" spans="1:6" x14ac:dyDescent="0.2">
      <c r="A56" s="1"/>
      <c r="B56" s="34">
        <v>9211</v>
      </c>
      <c r="C56" s="147" t="s">
        <v>78</v>
      </c>
      <c r="D56" s="11">
        <f>'CC borrador'!G35</f>
        <v>1522631.63</v>
      </c>
      <c r="E56" s="11"/>
      <c r="F56" s="11"/>
    </row>
    <row r="57" spans="1:6" x14ac:dyDescent="0.2">
      <c r="A57" s="1">
        <v>93</v>
      </c>
      <c r="B57" s="146"/>
      <c r="C57" s="149" t="s">
        <v>125</v>
      </c>
      <c r="D57" s="11"/>
      <c r="E57" s="11">
        <f>SUM(D58:D67)</f>
        <v>36797586.651818179</v>
      </c>
      <c r="F57" s="11"/>
    </row>
    <row r="58" spans="1:6" x14ac:dyDescent="0.2">
      <c r="A58" s="1"/>
      <c r="B58" s="34">
        <v>9301</v>
      </c>
      <c r="C58" s="150" t="s">
        <v>30</v>
      </c>
      <c r="D58" s="11">
        <f>'CC borrador'!H17</f>
        <v>25000</v>
      </c>
      <c r="E58" s="11"/>
      <c r="F58" s="11"/>
    </row>
    <row r="59" spans="1:6" x14ac:dyDescent="0.2">
      <c r="A59" s="1"/>
      <c r="B59" s="34">
        <v>9302</v>
      </c>
      <c r="C59" s="150" t="s">
        <v>0</v>
      </c>
      <c r="D59" s="11">
        <f>'CC borrador'!H18</f>
        <v>900000</v>
      </c>
      <c r="E59" s="11"/>
      <c r="F59" s="11"/>
    </row>
    <row r="60" spans="1:6" x14ac:dyDescent="0.2">
      <c r="A60" s="1"/>
      <c r="B60" s="34">
        <v>9303</v>
      </c>
      <c r="C60" s="150" t="s">
        <v>1</v>
      </c>
      <c r="D60" s="11">
        <f>'CC borrador'!H19</f>
        <v>84090.909090909088</v>
      </c>
      <c r="E60" s="11"/>
      <c r="F60" s="11"/>
    </row>
    <row r="61" spans="1:6" x14ac:dyDescent="0.2">
      <c r="A61" s="1"/>
      <c r="B61" s="34">
        <v>9304</v>
      </c>
      <c r="C61" s="150" t="s">
        <v>84</v>
      </c>
      <c r="D61" s="11">
        <f>'CC borrador'!H20</f>
        <v>106036.36363636366</v>
      </c>
      <c r="E61" s="11"/>
      <c r="F61" s="11"/>
    </row>
    <row r="62" spans="1:6" x14ac:dyDescent="0.2">
      <c r="A62" s="1"/>
      <c r="B62" s="34">
        <v>9305</v>
      </c>
      <c r="C62" s="150" t="s">
        <v>2</v>
      </c>
      <c r="D62" s="11">
        <f>'CC borrador'!H21</f>
        <v>84090.909090909088</v>
      </c>
      <c r="E62" s="11"/>
      <c r="F62" s="11"/>
    </row>
    <row r="63" spans="1:6" x14ac:dyDescent="0.2">
      <c r="A63" s="1"/>
      <c r="B63" s="34">
        <v>9306</v>
      </c>
      <c r="C63" s="150" t="s">
        <v>95</v>
      </c>
      <c r="D63" s="11">
        <f>'CC borrador'!H22</f>
        <v>28000</v>
      </c>
      <c r="E63" s="11"/>
      <c r="F63" s="11"/>
    </row>
    <row r="64" spans="1:6" x14ac:dyDescent="0.2">
      <c r="A64" s="1"/>
      <c r="B64" s="34">
        <v>9307</v>
      </c>
      <c r="C64" s="150" t="s">
        <v>98</v>
      </c>
      <c r="D64" s="11">
        <f>'CC borrador'!H24</f>
        <v>27000</v>
      </c>
      <c r="E64" s="11"/>
      <c r="F64" s="11"/>
    </row>
    <row r="65" spans="1:6" x14ac:dyDescent="0.2">
      <c r="A65" s="1"/>
      <c r="B65" s="34">
        <v>9308</v>
      </c>
      <c r="C65" s="150" t="s">
        <v>35</v>
      </c>
      <c r="D65" s="11">
        <f>'CC borrador'!H30</f>
        <v>15000</v>
      </c>
      <c r="E65" s="11"/>
      <c r="F65" s="11"/>
    </row>
    <row r="66" spans="1:6" x14ac:dyDescent="0.2">
      <c r="A66" s="1"/>
      <c r="B66" s="34">
        <v>9309</v>
      </c>
      <c r="C66" s="150" t="s">
        <v>36</v>
      </c>
      <c r="D66" s="11">
        <f>'CC borrador'!H33</f>
        <v>34158000</v>
      </c>
      <c r="E66" s="11"/>
      <c r="F66" s="11"/>
    </row>
    <row r="67" spans="1:6" x14ac:dyDescent="0.2">
      <c r="A67" s="1"/>
      <c r="B67" s="34">
        <v>9310</v>
      </c>
      <c r="C67" s="147" t="s">
        <v>78</v>
      </c>
      <c r="D67" s="11">
        <f>'CC borrador'!H35</f>
        <v>1370368.47</v>
      </c>
      <c r="E67" s="11"/>
      <c r="F67" s="11"/>
    </row>
    <row r="68" spans="1:6" x14ac:dyDescent="0.2">
      <c r="A68" s="1">
        <v>94</v>
      </c>
      <c r="B68" s="34"/>
      <c r="C68" s="150" t="s">
        <v>126</v>
      </c>
      <c r="D68" s="11"/>
      <c r="E68" s="11">
        <f>SUM(D69:D78)</f>
        <v>45004574.789999999</v>
      </c>
      <c r="F68" s="11"/>
    </row>
    <row r="69" spans="1:6" x14ac:dyDescent="0.2">
      <c r="A69" s="1"/>
      <c r="B69" s="34">
        <v>9401</v>
      </c>
      <c r="C69" s="150" t="s">
        <v>30</v>
      </c>
      <c r="D69" s="11">
        <f>'CC borrador'!I17</f>
        <v>36000</v>
      </c>
      <c r="E69" s="11"/>
      <c r="F69" s="11"/>
    </row>
    <row r="70" spans="1:6" x14ac:dyDescent="0.2">
      <c r="A70" s="1"/>
      <c r="B70" s="34">
        <v>9402</v>
      </c>
      <c r="C70" s="150" t="s">
        <v>0</v>
      </c>
      <c r="D70" s="11">
        <f>'CC borrador'!I18</f>
        <v>1100000</v>
      </c>
      <c r="E70" s="11"/>
      <c r="F70" s="11"/>
    </row>
    <row r="71" spans="1:6" x14ac:dyDescent="0.2">
      <c r="A71" s="1"/>
      <c r="B71" s="34">
        <v>9403</v>
      </c>
      <c r="C71" s="150" t="s">
        <v>1</v>
      </c>
      <c r="D71" s="11">
        <f>'CC borrador'!I19</f>
        <v>103272.72727272728</v>
      </c>
      <c r="E71" s="11"/>
      <c r="F71" s="11"/>
    </row>
    <row r="72" spans="1:6" x14ac:dyDescent="0.2">
      <c r="A72" s="1"/>
      <c r="B72" s="34">
        <v>9404</v>
      </c>
      <c r="C72" s="35" t="s">
        <v>84</v>
      </c>
      <c r="D72" s="11">
        <f>'CC borrador'!I20</f>
        <v>130134.54545454546</v>
      </c>
      <c r="E72" s="11"/>
      <c r="F72" s="11"/>
    </row>
    <row r="73" spans="1:6" x14ac:dyDescent="0.2">
      <c r="A73" s="1"/>
      <c r="B73" s="34">
        <v>9405</v>
      </c>
      <c r="C73" s="35" t="s">
        <v>2</v>
      </c>
      <c r="D73" s="11">
        <f>'CC borrador'!I21</f>
        <v>103272.72727272728</v>
      </c>
      <c r="E73" s="11"/>
      <c r="F73" s="11"/>
    </row>
    <row r="74" spans="1:6" x14ac:dyDescent="0.2">
      <c r="A74" s="1"/>
      <c r="B74" s="34">
        <v>9406</v>
      </c>
      <c r="C74" s="35" t="s">
        <v>95</v>
      </c>
      <c r="D74" s="11">
        <f>'CC borrador'!I22</f>
        <v>57000</v>
      </c>
      <c r="E74" s="11"/>
      <c r="F74" s="11"/>
    </row>
    <row r="75" spans="1:6" x14ac:dyDescent="0.2">
      <c r="A75" s="1"/>
      <c r="B75" s="34">
        <v>9407</v>
      </c>
      <c r="C75" s="35" t="s">
        <v>98</v>
      </c>
      <c r="D75" s="11">
        <f>'CC borrador'!I24</f>
        <v>33000</v>
      </c>
      <c r="E75" s="11"/>
      <c r="F75" s="11"/>
    </row>
    <row r="76" spans="1:6" x14ac:dyDescent="0.2">
      <c r="A76" s="1"/>
      <c r="B76" s="34">
        <v>9408</v>
      </c>
      <c r="C76" s="35" t="s">
        <v>35</v>
      </c>
      <c r="D76" s="11">
        <f>'CC borrador'!I30</f>
        <v>18333.333333333332</v>
      </c>
      <c r="E76" s="11"/>
      <c r="F76" s="11"/>
    </row>
    <row r="77" spans="1:6" x14ac:dyDescent="0.2">
      <c r="A77" s="1"/>
      <c r="B77" s="34">
        <v>9409</v>
      </c>
      <c r="C77" s="35" t="s">
        <v>36</v>
      </c>
      <c r="D77" s="11">
        <f>'CC borrador'!I33</f>
        <v>41748666.666666664</v>
      </c>
      <c r="E77" s="11"/>
      <c r="F77" s="11"/>
    </row>
    <row r="78" spans="1:6" x14ac:dyDescent="0.2">
      <c r="A78" s="1"/>
      <c r="B78" s="34">
        <v>9410</v>
      </c>
      <c r="C78" s="147" t="s">
        <v>78</v>
      </c>
      <c r="D78" s="11">
        <f>'CC borrador'!I35</f>
        <v>1674894.79</v>
      </c>
      <c r="E78" s="11"/>
      <c r="F78" s="11"/>
    </row>
    <row r="79" spans="1:6" x14ac:dyDescent="0.2">
      <c r="A79" s="1">
        <v>96</v>
      </c>
      <c r="B79" s="30"/>
      <c r="C79" s="27" t="s">
        <v>7</v>
      </c>
      <c r="D79" s="11"/>
      <c r="E79" s="11">
        <f>SUM(D80:D95)</f>
        <v>1442100</v>
      </c>
      <c r="F79" s="11"/>
    </row>
    <row r="80" spans="1:6" x14ac:dyDescent="0.2">
      <c r="A80" s="1"/>
      <c r="B80" s="30">
        <v>9601</v>
      </c>
      <c r="C80" s="37" t="str">
        <f>'CC borrador'!C7</f>
        <v>Materiales Aux., Sum. y Repuestos</v>
      </c>
      <c r="D80" s="11">
        <f>'CC borrador'!F16</f>
        <v>375000</v>
      </c>
      <c r="E80" s="11"/>
      <c r="F80" s="11"/>
    </row>
    <row r="81" spans="1:7" x14ac:dyDescent="0.2">
      <c r="A81" s="1"/>
      <c r="B81" s="30">
        <v>9602</v>
      </c>
      <c r="C81" s="37" t="str">
        <f>'CC borrador'!C17</f>
        <v>Sueldos</v>
      </c>
      <c r="D81" s="11">
        <f>'CC borrador'!F17</f>
        <v>330000</v>
      </c>
      <c r="E81" s="11"/>
      <c r="F81" s="11"/>
    </row>
    <row r="82" spans="1:7" x14ac:dyDescent="0.2">
      <c r="A82" s="1"/>
      <c r="B82" s="30">
        <v>9603</v>
      </c>
      <c r="C82" s="189" t="s">
        <v>1</v>
      </c>
      <c r="D82" s="11">
        <f>'CC borrador'!F19</f>
        <v>30000</v>
      </c>
      <c r="E82" s="11"/>
      <c r="F82" s="11"/>
    </row>
    <row r="83" spans="1:7" x14ac:dyDescent="0.2">
      <c r="A83" s="1"/>
      <c r="B83" s="30">
        <v>9604</v>
      </c>
      <c r="C83" s="189" t="s">
        <v>84</v>
      </c>
      <c r="D83" s="11">
        <f>'CC borrador'!F20</f>
        <v>32400</v>
      </c>
      <c r="E83" s="11"/>
      <c r="F83" s="11"/>
    </row>
    <row r="84" spans="1:7" x14ac:dyDescent="0.2">
      <c r="A84" s="1"/>
      <c r="B84" s="30">
        <v>9605</v>
      </c>
      <c r="C84" s="189" t="s">
        <v>2</v>
      </c>
      <c r="D84" s="2">
        <f>'CC borrador'!F21</f>
        <v>30000</v>
      </c>
      <c r="E84" s="11"/>
      <c r="F84" s="11"/>
    </row>
    <row r="85" spans="1:7" ht="14.25" x14ac:dyDescent="0.2">
      <c r="A85" s="1"/>
      <c r="B85" s="30">
        <v>9606</v>
      </c>
      <c r="C85" s="189" t="s">
        <v>95</v>
      </c>
      <c r="D85" s="2">
        <f>'CC borrador'!F22</f>
        <v>14000</v>
      </c>
      <c r="E85" s="11"/>
      <c r="F85" s="11"/>
      <c r="G85" s="36"/>
    </row>
    <row r="86" spans="1:7" s="36" customFormat="1" ht="14.25" x14ac:dyDescent="0.2">
      <c r="A86" s="1"/>
      <c r="B86" s="30">
        <v>9607</v>
      </c>
      <c r="C86" s="189" t="s">
        <v>97</v>
      </c>
      <c r="D86" s="2">
        <f>'CC borrador'!F23</f>
        <v>32500</v>
      </c>
      <c r="E86" s="11"/>
      <c r="F86" s="11"/>
      <c r="G86"/>
    </row>
    <row r="87" spans="1:7" x14ac:dyDescent="0.2">
      <c r="A87" s="1"/>
      <c r="B87" s="30">
        <v>9608</v>
      </c>
      <c r="C87" s="189" t="s">
        <v>98</v>
      </c>
      <c r="D87" s="2">
        <f>'CC borrador'!F24</f>
        <v>4000</v>
      </c>
      <c r="E87" s="11"/>
      <c r="F87" s="11"/>
    </row>
    <row r="88" spans="1:7" x14ac:dyDescent="0.2">
      <c r="A88" s="1"/>
      <c r="B88" s="30">
        <v>9609</v>
      </c>
      <c r="C88" s="189" t="s">
        <v>33</v>
      </c>
      <c r="D88" s="2">
        <f>'CC borrador'!F25</f>
        <v>90000</v>
      </c>
      <c r="E88" s="11"/>
      <c r="F88" s="11"/>
    </row>
    <row r="89" spans="1:7" x14ac:dyDescent="0.2">
      <c r="A89" s="1"/>
      <c r="B89" s="30">
        <v>9610</v>
      </c>
      <c r="C89" s="189" t="s">
        <v>96</v>
      </c>
      <c r="D89" s="2">
        <f>'CC borrador'!F26</f>
        <v>5000</v>
      </c>
      <c r="E89" s="11"/>
      <c r="F89" s="11"/>
    </row>
    <row r="90" spans="1:7" x14ac:dyDescent="0.2">
      <c r="A90" s="1"/>
      <c r="B90" s="30">
        <v>9611</v>
      </c>
      <c r="C90" s="189" t="s">
        <v>99</v>
      </c>
      <c r="D90" s="2">
        <f>'CC borrador'!F27</f>
        <v>1300</v>
      </c>
      <c r="E90" s="11"/>
      <c r="F90" s="11"/>
    </row>
    <row r="91" spans="1:7" x14ac:dyDescent="0.2">
      <c r="A91" s="1"/>
      <c r="B91" s="30">
        <v>9612</v>
      </c>
      <c r="C91" s="189" t="s">
        <v>82</v>
      </c>
      <c r="D91" s="2">
        <f>'CC borrador'!F28</f>
        <v>18500</v>
      </c>
      <c r="E91" s="11"/>
      <c r="F91" s="11"/>
    </row>
    <row r="92" spans="1:7" x14ac:dyDescent="0.2">
      <c r="A92" s="1"/>
      <c r="B92" s="30">
        <v>9613</v>
      </c>
      <c r="C92" s="189" t="s">
        <v>34</v>
      </c>
      <c r="D92" s="2">
        <f>'CC borrador'!F29</f>
        <v>14100</v>
      </c>
      <c r="E92" s="11"/>
      <c r="F92" s="11"/>
    </row>
    <row r="93" spans="1:7" x14ac:dyDescent="0.2">
      <c r="A93" s="1"/>
      <c r="B93" s="30">
        <v>9614</v>
      </c>
      <c r="C93" s="189" t="s">
        <v>167</v>
      </c>
      <c r="D93" s="2">
        <f>'CC borrador'!F31</f>
        <v>11800</v>
      </c>
      <c r="E93" s="11"/>
      <c r="F93" s="11"/>
    </row>
    <row r="94" spans="1:7" x14ac:dyDescent="0.2">
      <c r="A94" s="1"/>
      <c r="B94" s="30">
        <v>9615</v>
      </c>
      <c r="C94" s="189" t="s">
        <v>100</v>
      </c>
      <c r="D94" s="2">
        <f>'CC borrador'!F32</f>
        <v>22000</v>
      </c>
      <c r="E94" s="11"/>
      <c r="F94" s="11"/>
    </row>
    <row r="95" spans="1:7" x14ac:dyDescent="0.2">
      <c r="A95" s="1"/>
      <c r="B95" s="30">
        <v>9616</v>
      </c>
      <c r="C95" s="189" t="s">
        <v>36</v>
      </c>
      <c r="D95" s="2">
        <f>'CC borrador'!F33</f>
        <v>431500</v>
      </c>
      <c r="E95" s="11"/>
      <c r="F95" s="11"/>
    </row>
    <row r="96" spans="1:7" x14ac:dyDescent="0.2">
      <c r="A96" s="1">
        <v>91</v>
      </c>
      <c r="B96" s="30"/>
      <c r="C96" s="25" t="s">
        <v>8</v>
      </c>
      <c r="D96" s="11"/>
      <c r="E96" s="11"/>
      <c r="F96" s="11">
        <f>SUM(D97:D115)</f>
        <v>295781762.16363633</v>
      </c>
    </row>
    <row r="97" spans="1:6" x14ac:dyDescent="0.2">
      <c r="A97" s="1"/>
      <c r="B97" s="30">
        <v>9101</v>
      </c>
      <c r="C97" s="26" t="str">
        <f>C15</f>
        <v>Materias primas</v>
      </c>
      <c r="D97" s="11">
        <f>D15</f>
        <v>171667800</v>
      </c>
      <c r="E97" s="11"/>
      <c r="F97" s="11"/>
    </row>
    <row r="98" spans="1:6" x14ac:dyDescent="0.2">
      <c r="A98" s="1"/>
      <c r="B98" s="30">
        <v>9102</v>
      </c>
      <c r="C98" s="26" t="str">
        <f t="shared" ref="C98:D115" si="0">C16</f>
        <v>Materiales Aux., Sum. y Repuestos</v>
      </c>
      <c r="D98" s="11">
        <f t="shared" si="0"/>
        <v>1782000</v>
      </c>
      <c r="E98" s="11"/>
      <c r="F98" s="11"/>
    </row>
    <row r="99" spans="1:6" x14ac:dyDescent="0.2">
      <c r="A99" s="1"/>
      <c r="B99" s="30">
        <v>9103</v>
      </c>
      <c r="C99" s="26" t="str">
        <f t="shared" si="0"/>
        <v>Sueldos</v>
      </c>
      <c r="D99" s="11">
        <f t="shared" si="0"/>
        <v>524000</v>
      </c>
      <c r="E99" s="11"/>
      <c r="F99" s="11"/>
    </row>
    <row r="100" spans="1:6" x14ac:dyDescent="0.2">
      <c r="A100" s="1"/>
      <c r="B100" s="30">
        <v>9104</v>
      </c>
      <c r="C100" s="26" t="str">
        <f t="shared" si="0"/>
        <v>Salarios</v>
      </c>
      <c r="D100" s="11">
        <f t="shared" si="0"/>
        <v>3574300</v>
      </c>
      <c r="E100" s="11"/>
      <c r="F100" s="11"/>
    </row>
    <row r="101" spans="1:6" x14ac:dyDescent="0.2">
      <c r="A101" s="1"/>
      <c r="B101" s="30">
        <v>9105</v>
      </c>
      <c r="C101" s="26" t="str">
        <f t="shared" si="0"/>
        <v>Vacaciones</v>
      </c>
      <c r="D101" s="11">
        <f t="shared" si="0"/>
        <v>372572.72727272729</v>
      </c>
      <c r="E101" s="11"/>
      <c r="F101" s="11"/>
    </row>
    <row r="102" spans="1:6" x14ac:dyDescent="0.2">
      <c r="A102" s="1"/>
      <c r="B102" s="30">
        <v>9106</v>
      </c>
      <c r="C102" s="26" t="str">
        <f t="shared" si="0"/>
        <v>Seguridad y previsión social</v>
      </c>
      <c r="D102" s="11">
        <f t="shared" si="0"/>
        <v>462816.70909090911</v>
      </c>
      <c r="E102" s="11"/>
      <c r="F102" s="11"/>
    </row>
    <row r="103" spans="1:6" x14ac:dyDescent="0.2">
      <c r="A103" s="1"/>
      <c r="B103" s="30">
        <v>9107</v>
      </c>
      <c r="C103" s="26" t="str">
        <f t="shared" si="0"/>
        <v>CTS</v>
      </c>
      <c r="D103" s="11">
        <f t="shared" si="0"/>
        <v>372572.72727272729</v>
      </c>
      <c r="E103" s="11"/>
      <c r="F103" s="11"/>
    </row>
    <row r="104" spans="1:6" x14ac:dyDescent="0.2">
      <c r="A104" s="1"/>
      <c r="B104" s="30">
        <v>9108</v>
      </c>
      <c r="C104" s="26" t="str">
        <f t="shared" si="0"/>
        <v>Transporte</v>
      </c>
      <c r="D104" s="11">
        <f t="shared" si="0"/>
        <v>250000</v>
      </c>
      <c r="E104" s="11"/>
      <c r="F104" s="11"/>
    </row>
    <row r="105" spans="1:6" x14ac:dyDescent="0.2">
      <c r="A105" s="1"/>
      <c r="B105" s="30">
        <v>9109</v>
      </c>
      <c r="C105" s="26" t="str">
        <f t="shared" si="0"/>
        <v>Teléfono</v>
      </c>
      <c r="D105" s="11">
        <f t="shared" si="0"/>
        <v>32500</v>
      </c>
      <c r="E105" s="11"/>
      <c r="F105" s="11"/>
    </row>
    <row r="106" spans="1:6" x14ac:dyDescent="0.2">
      <c r="A106" s="1"/>
      <c r="B106" s="30">
        <v>9110</v>
      </c>
      <c r="C106" s="26" t="str">
        <f t="shared" si="0"/>
        <v>Mantenimiento y reparaciones</v>
      </c>
      <c r="D106" s="11">
        <f t="shared" si="0"/>
        <v>94000</v>
      </c>
      <c r="E106" s="11"/>
      <c r="F106" s="11"/>
    </row>
    <row r="107" spans="1:6" x14ac:dyDescent="0.2">
      <c r="A107" s="1"/>
      <c r="B107" s="30">
        <v>9111</v>
      </c>
      <c r="C107" s="26" t="str">
        <f t="shared" si="0"/>
        <v>Alquileres</v>
      </c>
      <c r="D107" s="11">
        <f t="shared" si="0"/>
        <v>90000</v>
      </c>
      <c r="E107" s="11"/>
      <c r="F107" s="11"/>
    </row>
    <row r="108" spans="1:6" x14ac:dyDescent="0.2">
      <c r="A108" s="1"/>
      <c r="B108" s="30">
        <v>9112</v>
      </c>
      <c r="C108" s="26" t="str">
        <f t="shared" si="0"/>
        <v>Agua</v>
      </c>
      <c r="D108" s="11">
        <f t="shared" si="0"/>
        <v>45000</v>
      </c>
      <c r="E108" s="11"/>
      <c r="F108" s="11"/>
    </row>
    <row r="109" spans="1:6" x14ac:dyDescent="0.2">
      <c r="A109" s="1"/>
      <c r="B109" s="30">
        <v>9113</v>
      </c>
      <c r="C109" s="26" t="str">
        <f t="shared" si="0"/>
        <v>Gastos bancarios</v>
      </c>
      <c r="D109" s="11">
        <f t="shared" si="0"/>
        <v>1300</v>
      </c>
      <c r="E109" s="11"/>
      <c r="F109" s="11"/>
    </row>
    <row r="110" spans="1:6" x14ac:dyDescent="0.2">
      <c r="A110" s="1"/>
      <c r="B110" s="30">
        <v>9114</v>
      </c>
      <c r="C110" s="26" t="str">
        <f t="shared" si="0"/>
        <v>Cánones</v>
      </c>
      <c r="D110" s="11">
        <f t="shared" si="0"/>
        <v>18500</v>
      </c>
      <c r="E110" s="11"/>
      <c r="F110" s="11"/>
    </row>
    <row r="111" spans="1:6" x14ac:dyDescent="0.2">
      <c r="A111" s="1"/>
      <c r="B111" s="30">
        <v>9115</v>
      </c>
      <c r="C111" s="26" t="str">
        <f t="shared" si="0"/>
        <v>Tributos a gobiernos locales</v>
      </c>
      <c r="D111" s="11">
        <f t="shared" si="0"/>
        <v>14100</v>
      </c>
      <c r="E111" s="11"/>
      <c r="F111" s="11"/>
    </row>
    <row r="112" spans="1:6" x14ac:dyDescent="0.2">
      <c r="A112" s="1"/>
      <c r="B112" s="30">
        <v>9116</v>
      </c>
      <c r="C112" s="26" t="str">
        <f t="shared" si="0"/>
        <v>Seguros</v>
      </c>
      <c r="D112" s="11">
        <f t="shared" si="0"/>
        <v>50000</v>
      </c>
      <c r="E112" s="11"/>
      <c r="F112" s="11"/>
    </row>
    <row r="113" spans="1:6" x14ac:dyDescent="0.2">
      <c r="A113" s="1"/>
      <c r="B113" s="30">
        <v>9117</v>
      </c>
      <c r="C113" s="26" t="str">
        <f t="shared" si="0"/>
        <v>Suscripciones</v>
      </c>
      <c r="D113" s="11">
        <f t="shared" si="0"/>
        <v>11800</v>
      </c>
      <c r="E113" s="11"/>
      <c r="F113" s="11"/>
    </row>
    <row r="114" spans="1:6" x14ac:dyDescent="0.2">
      <c r="A114" s="1"/>
      <c r="B114" s="30">
        <v>9118</v>
      </c>
      <c r="C114" s="26" t="str">
        <f t="shared" si="0"/>
        <v xml:space="preserve">Intereses por préstamos y otras oblig. </v>
      </c>
      <c r="D114" s="11">
        <f t="shared" si="0"/>
        <v>22000</v>
      </c>
      <c r="E114" s="11"/>
      <c r="F114" s="11"/>
    </row>
    <row r="115" spans="1:6" x14ac:dyDescent="0.2">
      <c r="A115" s="1"/>
      <c r="B115" s="30">
        <v>9119</v>
      </c>
      <c r="C115" s="26" t="str">
        <f t="shared" si="0"/>
        <v>Depreciaciones</v>
      </c>
      <c r="D115" s="11">
        <f t="shared" si="0"/>
        <v>116396500</v>
      </c>
      <c r="E115" s="11"/>
      <c r="F115" s="11"/>
    </row>
    <row r="116" spans="1:6" x14ac:dyDescent="0.2">
      <c r="A116" s="1"/>
      <c r="B116" s="30"/>
      <c r="C116" s="24">
        <v>5</v>
      </c>
      <c r="D116" s="11"/>
      <c r="E116" s="11"/>
      <c r="F116" s="11"/>
    </row>
    <row r="117" spans="1:6" x14ac:dyDescent="0.2">
      <c r="A117" s="1">
        <v>95</v>
      </c>
      <c r="B117" s="30"/>
      <c r="C117" s="27" t="s">
        <v>9</v>
      </c>
      <c r="D117" s="11"/>
      <c r="E117" s="11">
        <f>SUM(D118:D120)</f>
        <v>294339662.16272724</v>
      </c>
      <c r="F117" s="11"/>
    </row>
    <row r="118" spans="1:6" x14ac:dyDescent="0.2">
      <c r="A118" s="1"/>
      <c r="B118" s="31">
        <v>9501</v>
      </c>
      <c r="C118" s="142" t="s">
        <v>61</v>
      </c>
      <c r="D118" s="11">
        <f>D15</f>
        <v>171667800</v>
      </c>
      <c r="E118" s="11"/>
      <c r="F118" s="11"/>
    </row>
    <row r="119" spans="1:6" x14ac:dyDescent="0.2">
      <c r="A119" s="1"/>
      <c r="B119" s="31">
        <v>9502</v>
      </c>
      <c r="C119" s="27" t="s">
        <v>10</v>
      </c>
      <c r="D119" s="11">
        <f>'CC borrador'!E18</f>
        <v>3000000</v>
      </c>
      <c r="E119" s="11"/>
      <c r="F119" s="11"/>
    </row>
    <row r="120" spans="1:6" x14ac:dyDescent="0.2">
      <c r="A120" s="1"/>
      <c r="B120" s="31">
        <v>9603</v>
      </c>
      <c r="C120" s="27" t="s">
        <v>11</v>
      </c>
      <c r="D120" s="11">
        <f>'CC borrador'!E17+'CC borrador'!E19+'CC borrador'!E20+'CC borrador'!E21+'CC borrador'!E22+'CC borrador'!E24+'CC borrador'!E30+'CC borrador'!E33+'CC borrador'!E35</f>
        <v>119671862.16272727</v>
      </c>
      <c r="E120" s="11"/>
      <c r="F120" s="11"/>
    </row>
    <row r="121" spans="1:6" x14ac:dyDescent="0.2">
      <c r="A121" s="1">
        <v>92</v>
      </c>
      <c r="B121" s="30"/>
      <c r="C121" s="142" t="str">
        <f>C45</f>
        <v>UNIDAD DE DESTILACIÓN PRIMARIA</v>
      </c>
      <c r="D121" s="11"/>
      <c r="E121" s="11"/>
      <c r="F121" s="11">
        <f>SUM(D122:D132)</f>
        <v>212537500.72090906</v>
      </c>
    </row>
    <row r="122" spans="1:6" x14ac:dyDescent="0.2">
      <c r="A122" s="1"/>
      <c r="B122" s="34">
        <v>9201</v>
      </c>
      <c r="C122" s="151" t="s">
        <v>127</v>
      </c>
      <c r="D122" s="22">
        <f>'CC borrador'!G6</f>
        <v>171667800</v>
      </c>
      <c r="E122" s="11"/>
      <c r="F122" s="11"/>
    </row>
    <row r="123" spans="1:6" x14ac:dyDescent="0.2">
      <c r="A123" s="1"/>
      <c r="B123" s="34">
        <v>9202</v>
      </c>
      <c r="C123" s="151" t="s">
        <v>30</v>
      </c>
      <c r="D123" s="22">
        <f>'CC borrador'!G17</f>
        <v>22000</v>
      </c>
      <c r="E123" s="11"/>
      <c r="F123" s="11"/>
    </row>
    <row r="124" spans="1:6" x14ac:dyDescent="0.2">
      <c r="A124" s="1"/>
      <c r="B124" s="34">
        <v>9203</v>
      </c>
      <c r="C124" s="186" t="s">
        <v>0</v>
      </c>
      <c r="D124" s="11">
        <f>'CC borrador'!G18</f>
        <v>1000000</v>
      </c>
      <c r="E124" s="11"/>
      <c r="F124" s="11"/>
    </row>
    <row r="125" spans="1:6" x14ac:dyDescent="0.2">
      <c r="A125" s="1"/>
      <c r="B125" s="34">
        <v>9204</v>
      </c>
      <c r="C125" s="186" t="s">
        <v>1</v>
      </c>
      <c r="D125" s="11">
        <f>'CC borrador'!G19</f>
        <v>92909.090909090912</v>
      </c>
      <c r="E125" s="11"/>
      <c r="F125" s="11"/>
    </row>
    <row r="126" spans="1:6" x14ac:dyDescent="0.2">
      <c r="A126" s="1"/>
      <c r="B126" s="34">
        <v>9205</v>
      </c>
      <c r="C126" s="186" t="s">
        <v>84</v>
      </c>
      <c r="D126" s="11">
        <f>'CC borrador'!G20</f>
        <v>117250.90909090909</v>
      </c>
      <c r="E126" s="11"/>
      <c r="F126" s="11"/>
    </row>
    <row r="127" spans="1:6" x14ac:dyDescent="0.2">
      <c r="A127" s="1"/>
      <c r="B127" s="34">
        <v>9206</v>
      </c>
      <c r="C127" s="186" t="s">
        <v>2</v>
      </c>
      <c r="D127" s="11">
        <f>'CC borrador'!G21</f>
        <v>92909.090909090912</v>
      </c>
      <c r="E127" s="11"/>
      <c r="F127" s="11"/>
    </row>
    <row r="128" spans="1:6" x14ac:dyDescent="0.2">
      <c r="A128" s="1"/>
      <c r="B128" s="34">
        <v>9207</v>
      </c>
      <c r="C128" s="187" t="s">
        <v>95</v>
      </c>
      <c r="D128" s="11">
        <f>'CC borrador'!G22</f>
        <v>22000</v>
      </c>
      <c r="E128" s="11"/>
      <c r="F128" s="11"/>
    </row>
    <row r="129" spans="1:8" x14ac:dyDescent="0.2">
      <c r="A129" s="1"/>
      <c r="B129" s="34">
        <v>9208</v>
      </c>
      <c r="C129" s="186" t="s">
        <v>98</v>
      </c>
      <c r="D129" s="11">
        <f>'CC borrador'!G24</f>
        <v>30000</v>
      </c>
      <c r="E129" s="11"/>
      <c r="F129" s="11"/>
    </row>
    <row r="130" spans="1:8" x14ac:dyDescent="0.2">
      <c r="A130" s="1"/>
      <c r="B130" s="34">
        <v>9209</v>
      </c>
      <c r="C130" s="150" t="s">
        <v>35</v>
      </c>
      <c r="D130" s="11">
        <f>'CC borrador'!G30</f>
        <v>16666.666666666664</v>
      </c>
      <c r="E130" s="11"/>
      <c r="F130" s="11"/>
    </row>
    <row r="131" spans="1:8" x14ac:dyDescent="0.2">
      <c r="A131" s="1"/>
      <c r="B131" s="191">
        <v>9210</v>
      </c>
      <c r="C131" s="190" t="s">
        <v>36</v>
      </c>
      <c r="D131" s="11">
        <f>'CC borrador'!G33</f>
        <v>37953333.333333328</v>
      </c>
      <c r="E131" s="11"/>
      <c r="F131" s="11"/>
    </row>
    <row r="132" spans="1:8" x14ac:dyDescent="0.2">
      <c r="A132" s="1"/>
      <c r="B132" s="34">
        <v>9211</v>
      </c>
      <c r="C132" s="147" t="s">
        <v>78</v>
      </c>
      <c r="D132" s="11">
        <f>'CC borrador'!G35</f>
        <v>1522631.63</v>
      </c>
      <c r="E132" s="11"/>
      <c r="F132" s="11"/>
    </row>
    <row r="133" spans="1:8" x14ac:dyDescent="0.2">
      <c r="A133" s="1">
        <v>93</v>
      </c>
      <c r="B133" s="33"/>
      <c r="C133" s="25" t="str">
        <f t="shared" ref="C133:C154" si="1">C57</f>
        <v>UNIDAD DE DESTILACIÓN AL VACÍO</v>
      </c>
      <c r="D133" s="11"/>
      <c r="E133" s="11"/>
      <c r="F133" s="11">
        <f>SUM(D134:D143)</f>
        <v>36797586.651818179</v>
      </c>
    </row>
    <row r="134" spans="1:8" x14ac:dyDescent="0.2">
      <c r="A134" s="1"/>
      <c r="B134" s="34">
        <f t="shared" ref="B134:B143" si="2">B58</f>
        <v>9301</v>
      </c>
      <c r="C134" s="25" t="str">
        <f t="shared" si="1"/>
        <v>Sueldos</v>
      </c>
      <c r="D134" s="11">
        <f t="shared" ref="D134:D146" si="3">D58</f>
        <v>25000</v>
      </c>
      <c r="E134" s="11"/>
      <c r="F134" s="11"/>
    </row>
    <row r="135" spans="1:8" x14ac:dyDescent="0.2">
      <c r="A135" s="1"/>
      <c r="B135" s="34">
        <f t="shared" si="2"/>
        <v>9302</v>
      </c>
      <c r="C135" s="25" t="str">
        <f t="shared" si="1"/>
        <v>Salarios</v>
      </c>
      <c r="D135" s="11">
        <f t="shared" si="3"/>
        <v>900000</v>
      </c>
      <c r="E135" s="11"/>
      <c r="F135" s="11"/>
    </row>
    <row r="136" spans="1:8" x14ac:dyDescent="0.2">
      <c r="A136" s="1"/>
      <c r="B136" s="34">
        <f t="shared" si="2"/>
        <v>9303</v>
      </c>
      <c r="C136" s="25" t="str">
        <f t="shared" si="1"/>
        <v>Vacaciones</v>
      </c>
      <c r="D136" s="11">
        <f t="shared" si="3"/>
        <v>84090.909090909088</v>
      </c>
      <c r="E136" s="11"/>
      <c r="F136" s="11"/>
    </row>
    <row r="137" spans="1:8" x14ac:dyDescent="0.2">
      <c r="A137" s="1"/>
      <c r="B137" s="34">
        <f t="shared" si="2"/>
        <v>9304</v>
      </c>
      <c r="C137" s="25" t="str">
        <f t="shared" si="1"/>
        <v>Seguridad y previsión social</v>
      </c>
      <c r="D137" s="11">
        <f t="shared" si="3"/>
        <v>106036.36363636366</v>
      </c>
      <c r="E137" s="11"/>
      <c r="F137" s="11"/>
    </row>
    <row r="138" spans="1:8" x14ac:dyDescent="0.2">
      <c r="A138" s="1"/>
      <c r="B138" s="34">
        <f t="shared" si="2"/>
        <v>9305</v>
      </c>
      <c r="C138" s="25" t="str">
        <f t="shared" si="1"/>
        <v>CTS</v>
      </c>
      <c r="D138" s="11">
        <f t="shared" si="3"/>
        <v>84090.909090909088</v>
      </c>
      <c r="E138" s="11"/>
      <c r="F138" s="11"/>
    </row>
    <row r="139" spans="1:8" x14ac:dyDescent="0.2">
      <c r="A139" s="1"/>
      <c r="B139" s="34">
        <f t="shared" si="2"/>
        <v>9306</v>
      </c>
      <c r="C139" s="25" t="str">
        <f t="shared" si="1"/>
        <v>Transporte</v>
      </c>
      <c r="D139" s="11">
        <f t="shared" si="3"/>
        <v>28000</v>
      </c>
      <c r="E139" s="11"/>
      <c r="F139" s="11"/>
    </row>
    <row r="140" spans="1:8" x14ac:dyDescent="0.2">
      <c r="A140" s="1"/>
      <c r="B140" s="34">
        <f t="shared" si="2"/>
        <v>9307</v>
      </c>
      <c r="C140" s="25" t="str">
        <f t="shared" si="1"/>
        <v>Mantenimiento y reparaciones</v>
      </c>
      <c r="D140" s="11">
        <f t="shared" si="3"/>
        <v>27000</v>
      </c>
      <c r="E140" s="11"/>
      <c r="F140" s="11"/>
    </row>
    <row r="141" spans="1:8" x14ac:dyDescent="0.2">
      <c r="A141" s="1"/>
      <c r="B141" s="34">
        <f t="shared" si="2"/>
        <v>9308</v>
      </c>
      <c r="C141" s="25" t="str">
        <f t="shared" si="1"/>
        <v>Seguros</v>
      </c>
      <c r="D141" s="11">
        <f t="shared" si="3"/>
        <v>15000</v>
      </c>
      <c r="E141" s="11"/>
      <c r="F141" s="11"/>
    </row>
    <row r="142" spans="1:8" x14ac:dyDescent="0.2">
      <c r="A142" s="1"/>
      <c r="B142" s="34">
        <f t="shared" si="2"/>
        <v>9309</v>
      </c>
      <c r="C142" s="25" t="str">
        <f t="shared" si="1"/>
        <v>Depreciaciones</v>
      </c>
      <c r="D142" s="11">
        <f t="shared" si="3"/>
        <v>34158000</v>
      </c>
      <c r="E142" s="11"/>
      <c r="F142" s="11"/>
    </row>
    <row r="143" spans="1:8" x14ac:dyDescent="0.2">
      <c r="A143" s="1"/>
      <c r="B143" s="34">
        <f t="shared" si="2"/>
        <v>9310</v>
      </c>
      <c r="C143" s="25" t="str">
        <f t="shared" si="1"/>
        <v>Costo de Servicios</v>
      </c>
      <c r="D143" s="11">
        <f t="shared" si="3"/>
        <v>1370368.47</v>
      </c>
      <c r="E143" s="11"/>
      <c r="F143" s="11"/>
      <c r="H143" s="2"/>
    </row>
    <row r="144" spans="1:8" x14ac:dyDescent="0.2">
      <c r="A144" s="1">
        <v>94</v>
      </c>
      <c r="B144" s="34"/>
      <c r="C144" s="25" t="str">
        <f t="shared" si="1"/>
        <v>UNIDAD DE CRAQUEO CATALÍTICO</v>
      </c>
      <c r="D144" s="11"/>
      <c r="E144" s="11"/>
      <c r="F144" s="11">
        <f>SUM(D145:D154)</f>
        <v>45004574.789999999</v>
      </c>
    </row>
    <row r="145" spans="1:6" x14ac:dyDescent="0.2">
      <c r="A145" s="1"/>
      <c r="B145" s="34">
        <f t="shared" ref="B145:B154" si="4">B69</f>
        <v>9401</v>
      </c>
      <c r="C145" s="25" t="str">
        <f t="shared" si="1"/>
        <v>Sueldos</v>
      </c>
      <c r="D145" s="11">
        <f t="shared" si="3"/>
        <v>36000</v>
      </c>
      <c r="E145" s="11"/>
      <c r="F145" s="11"/>
    </row>
    <row r="146" spans="1:6" x14ac:dyDescent="0.2">
      <c r="A146" s="1"/>
      <c r="B146" s="34">
        <f t="shared" si="4"/>
        <v>9402</v>
      </c>
      <c r="C146" s="25" t="str">
        <f t="shared" si="1"/>
        <v>Salarios</v>
      </c>
      <c r="D146" s="11">
        <f t="shared" si="3"/>
        <v>1100000</v>
      </c>
      <c r="E146" s="11"/>
      <c r="F146" s="11"/>
    </row>
    <row r="147" spans="1:6" x14ac:dyDescent="0.2">
      <c r="A147" s="1"/>
      <c r="B147" s="34">
        <f t="shared" si="4"/>
        <v>9403</v>
      </c>
      <c r="C147" s="25" t="str">
        <f t="shared" si="1"/>
        <v>Vacaciones</v>
      </c>
      <c r="D147" s="11">
        <f t="shared" ref="D147:D154" si="5">D71</f>
        <v>103272.72727272728</v>
      </c>
      <c r="E147" s="11"/>
      <c r="F147" s="11"/>
    </row>
    <row r="148" spans="1:6" x14ac:dyDescent="0.2">
      <c r="A148" s="1"/>
      <c r="B148" s="34">
        <f t="shared" si="4"/>
        <v>9404</v>
      </c>
      <c r="C148" s="25" t="str">
        <f t="shared" si="1"/>
        <v>Seguridad y previsión social</v>
      </c>
      <c r="D148" s="11">
        <f t="shared" si="5"/>
        <v>130134.54545454546</v>
      </c>
      <c r="E148" s="11"/>
      <c r="F148" s="11"/>
    </row>
    <row r="149" spans="1:6" x14ac:dyDescent="0.2">
      <c r="A149" s="1"/>
      <c r="B149" s="34">
        <f t="shared" si="4"/>
        <v>9405</v>
      </c>
      <c r="C149" s="25" t="str">
        <f t="shared" si="1"/>
        <v>CTS</v>
      </c>
      <c r="D149" s="11">
        <f t="shared" si="5"/>
        <v>103272.72727272728</v>
      </c>
      <c r="E149" s="11"/>
      <c r="F149" s="11"/>
    </row>
    <row r="150" spans="1:6" x14ac:dyDescent="0.2">
      <c r="A150" s="1"/>
      <c r="B150" s="34">
        <f t="shared" si="4"/>
        <v>9406</v>
      </c>
      <c r="C150" s="25" t="str">
        <f t="shared" si="1"/>
        <v>Transporte</v>
      </c>
      <c r="D150" s="11">
        <f t="shared" si="5"/>
        <v>57000</v>
      </c>
      <c r="E150" s="11"/>
      <c r="F150" s="11"/>
    </row>
    <row r="151" spans="1:6" x14ac:dyDescent="0.2">
      <c r="A151" s="1"/>
      <c r="B151" s="34">
        <f t="shared" si="4"/>
        <v>9407</v>
      </c>
      <c r="C151" s="25" t="str">
        <f t="shared" si="1"/>
        <v>Mantenimiento y reparaciones</v>
      </c>
      <c r="D151" s="11">
        <f t="shared" si="5"/>
        <v>33000</v>
      </c>
      <c r="E151" s="11"/>
      <c r="F151" s="11"/>
    </row>
    <row r="152" spans="1:6" x14ac:dyDescent="0.2">
      <c r="A152" s="1"/>
      <c r="B152" s="34">
        <f t="shared" si="4"/>
        <v>9408</v>
      </c>
      <c r="C152" s="25" t="str">
        <f t="shared" si="1"/>
        <v>Seguros</v>
      </c>
      <c r="D152" s="11">
        <f t="shared" si="5"/>
        <v>18333.333333333332</v>
      </c>
      <c r="E152" s="11"/>
      <c r="F152" s="11"/>
    </row>
    <row r="153" spans="1:6" x14ac:dyDescent="0.2">
      <c r="A153" s="1"/>
      <c r="B153" s="34">
        <f t="shared" si="4"/>
        <v>9409</v>
      </c>
      <c r="C153" s="25" t="str">
        <f t="shared" si="1"/>
        <v>Depreciaciones</v>
      </c>
      <c r="D153" s="11">
        <f t="shared" si="5"/>
        <v>41748666.666666664</v>
      </c>
      <c r="E153" s="11"/>
      <c r="F153" s="11"/>
    </row>
    <row r="154" spans="1:6" x14ac:dyDescent="0.2">
      <c r="A154" s="1"/>
      <c r="B154" s="34">
        <f t="shared" si="4"/>
        <v>9410</v>
      </c>
      <c r="C154" s="25" t="str">
        <f t="shared" si="1"/>
        <v>Costo de Servicios</v>
      </c>
      <c r="D154" s="11">
        <f t="shared" si="5"/>
        <v>1674894.79</v>
      </c>
      <c r="E154" s="11"/>
      <c r="F154" s="11"/>
    </row>
    <row r="155" spans="1:6" x14ac:dyDescent="0.2">
      <c r="A155" s="1"/>
      <c r="B155" s="30"/>
      <c r="C155" s="24">
        <v>6</v>
      </c>
      <c r="D155" s="11"/>
      <c r="E155" s="11"/>
      <c r="F155" s="11"/>
    </row>
    <row r="156" spans="1:6" x14ac:dyDescent="0.2">
      <c r="A156" s="1">
        <v>97</v>
      </c>
      <c r="B156" s="30"/>
      <c r="C156" s="27" t="s">
        <v>3</v>
      </c>
      <c r="D156" s="11"/>
      <c r="E156" s="11">
        <f>D157</f>
        <v>294339662.16272724</v>
      </c>
      <c r="F156" s="11"/>
    </row>
    <row r="157" spans="1:6" x14ac:dyDescent="0.2">
      <c r="A157" s="1"/>
      <c r="B157" s="30">
        <v>9701</v>
      </c>
      <c r="C157" s="27" t="s">
        <v>12</v>
      </c>
      <c r="D157" s="11">
        <f>E117</f>
        <v>294339662.16272724</v>
      </c>
      <c r="E157" s="11"/>
      <c r="F157" s="11"/>
    </row>
    <row r="158" spans="1:6" x14ac:dyDescent="0.2">
      <c r="A158" s="1">
        <v>95</v>
      </c>
      <c r="B158" s="30"/>
      <c r="C158" s="29" t="s">
        <v>13</v>
      </c>
      <c r="D158" s="11"/>
      <c r="E158" s="11"/>
      <c r="F158" s="11">
        <f>SUM(D159:D161)</f>
        <v>294339662.16272724</v>
      </c>
    </row>
    <row r="159" spans="1:6" x14ac:dyDescent="0.2">
      <c r="A159" s="1"/>
      <c r="B159" s="31">
        <v>9501</v>
      </c>
      <c r="C159" s="142" t="s">
        <v>61</v>
      </c>
      <c r="D159" s="11">
        <f>D118</f>
        <v>171667800</v>
      </c>
      <c r="E159" s="11"/>
      <c r="F159" s="11"/>
    </row>
    <row r="160" spans="1:6" x14ac:dyDescent="0.2">
      <c r="A160" s="1"/>
      <c r="B160" s="31">
        <v>9502</v>
      </c>
      <c r="C160" s="27" t="s">
        <v>10</v>
      </c>
      <c r="D160" s="11">
        <f>D119</f>
        <v>3000000</v>
      </c>
      <c r="E160" s="11"/>
      <c r="F160" s="11"/>
    </row>
    <row r="161" spans="1:6" x14ac:dyDescent="0.2">
      <c r="A161" s="1"/>
      <c r="B161" s="31">
        <v>9503</v>
      </c>
      <c r="C161" s="27" t="s">
        <v>11</v>
      </c>
      <c r="D161" s="11">
        <f>D120</f>
        <v>119671862.16272727</v>
      </c>
      <c r="E161" s="11"/>
      <c r="F161" s="11"/>
    </row>
    <row r="162" spans="1:6" x14ac:dyDescent="0.2">
      <c r="A162" s="1"/>
      <c r="B162" s="46"/>
      <c r="C162" s="165">
        <v>7</v>
      </c>
      <c r="D162" s="11"/>
      <c r="E162" s="11"/>
      <c r="F162" s="11"/>
    </row>
    <row r="163" spans="1:6" x14ac:dyDescent="0.2">
      <c r="A163" s="1">
        <f>A156</f>
        <v>97</v>
      </c>
      <c r="B163" s="164"/>
      <c r="C163" s="163" t="str">
        <f>C156</f>
        <v>INVENTARIO PERMANENTE</v>
      </c>
      <c r="D163" s="11"/>
      <c r="E163" s="11">
        <f>D164</f>
        <v>294339662.16272724</v>
      </c>
      <c r="F163" s="11"/>
    </row>
    <row r="164" spans="1:6" x14ac:dyDescent="0.2">
      <c r="A164" s="1"/>
      <c r="B164" s="156">
        <v>9704</v>
      </c>
      <c r="C164" s="166" t="s">
        <v>14</v>
      </c>
      <c r="D164" s="11">
        <f>E156</f>
        <v>294339662.16272724</v>
      </c>
      <c r="E164" s="11"/>
      <c r="F164" s="11"/>
    </row>
    <row r="165" spans="1:6" x14ac:dyDescent="0.2">
      <c r="A165" s="1">
        <f>A163</f>
        <v>97</v>
      </c>
      <c r="B165" s="164"/>
      <c r="C165" s="163" t="str">
        <f>C163</f>
        <v>INVENTARIO PERMANENTE</v>
      </c>
      <c r="D165" s="11"/>
      <c r="E165" s="11"/>
      <c r="F165" s="11">
        <f>D166</f>
        <v>294339662.16272724</v>
      </c>
    </row>
    <row r="166" spans="1:6" x14ac:dyDescent="0.2">
      <c r="A166" s="1"/>
      <c r="B166" s="154">
        <v>9701</v>
      </c>
      <c r="C166" s="159" t="s">
        <v>15</v>
      </c>
      <c r="D166" s="11">
        <f>D164</f>
        <v>294339662.16272724</v>
      </c>
      <c r="E166" s="11"/>
      <c r="F166" s="11"/>
    </row>
    <row r="167" spans="1:6" x14ac:dyDescent="0.2">
      <c r="A167" s="1"/>
      <c r="B167" s="30"/>
      <c r="C167" s="24">
        <v>8</v>
      </c>
      <c r="D167" s="11"/>
      <c r="E167" s="11"/>
      <c r="F167" s="11"/>
    </row>
    <row r="168" spans="1:6" x14ac:dyDescent="0.2">
      <c r="A168" s="1">
        <v>90</v>
      </c>
      <c r="B168" s="30"/>
      <c r="C168" s="27" t="s">
        <v>16</v>
      </c>
      <c r="D168" s="11"/>
      <c r="E168" s="11">
        <f>D169</f>
        <v>357641000</v>
      </c>
      <c r="F168" s="11"/>
    </row>
    <row r="169" spans="1:6" x14ac:dyDescent="0.2">
      <c r="A169" s="1"/>
      <c r="B169" s="30">
        <v>9009</v>
      </c>
      <c r="C169" s="27" t="s">
        <v>17</v>
      </c>
      <c r="D169" s="11">
        <v>357641000</v>
      </c>
      <c r="E169" s="11"/>
      <c r="F169" s="11"/>
    </row>
    <row r="170" spans="1:6" x14ac:dyDescent="0.2">
      <c r="A170" s="1">
        <v>98</v>
      </c>
      <c r="B170" s="30"/>
      <c r="C170" s="27" t="s">
        <v>18</v>
      </c>
      <c r="D170" s="11"/>
      <c r="E170" s="11"/>
      <c r="F170" s="11">
        <f>E168</f>
        <v>357641000</v>
      </c>
    </row>
    <row r="171" spans="1:6" x14ac:dyDescent="0.2">
      <c r="A171" s="1"/>
      <c r="B171" s="30"/>
      <c r="C171" s="24">
        <v>9</v>
      </c>
      <c r="D171" s="11"/>
      <c r="E171" s="11"/>
      <c r="F171" s="11"/>
    </row>
    <row r="172" spans="1:6" x14ac:dyDescent="0.2">
      <c r="A172" s="1">
        <v>98</v>
      </c>
      <c r="B172" s="30"/>
      <c r="C172" s="27" t="s">
        <v>19</v>
      </c>
      <c r="D172" s="11"/>
      <c r="E172" s="11">
        <f>SUM(F173:F175)</f>
        <v>295781762.16272724</v>
      </c>
      <c r="F172" s="11"/>
    </row>
    <row r="173" spans="1:6" x14ac:dyDescent="0.2">
      <c r="A173" s="1">
        <v>97</v>
      </c>
      <c r="B173" s="30"/>
      <c r="C173" s="27" t="s">
        <v>6</v>
      </c>
      <c r="D173" s="11"/>
      <c r="E173" s="11"/>
      <c r="F173" s="11">
        <f>E163</f>
        <v>294339662.16272724</v>
      </c>
    </row>
    <row r="174" spans="1:6" x14ac:dyDescent="0.2">
      <c r="A174" s="1"/>
      <c r="B174" s="30">
        <v>9704</v>
      </c>
      <c r="C174" s="27" t="s">
        <v>20</v>
      </c>
      <c r="D174" s="11">
        <f>F173</f>
        <v>294339662.16272724</v>
      </c>
      <c r="E174" s="11"/>
      <c r="F174" s="11"/>
    </row>
    <row r="175" spans="1:6" x14ac:dyDescent="0.2">
      <c r="A175" s="1">
        <v>96</v>
      </c>
      <c r="B175" s="46"/>
      <c r="C175" s="192" t="s">
        <v>21</v>
      </c>
      <c r="D175" s="11"/>
      <c r="E175" s="11"/>
      <c r="F175" s="11">
        <f>E79</f>
        <v>1442100</v>
      </c>
    </row>
    <row r="176" spans="1:6" x14ac:dyDescent="0.2">
      <c r="A176" s="1"/>
      <c r="B176" s="30">
        <f>B80</f>
        <v>9601</v>
      </c>
      <c r="C176" s="155" t="str">
        <f>C80</f>
        <v>Materiales Aux., Sum. y Repuestos</v>
      </c>
      <c r="D176" s="193">
        <f>D80</f>
        <v>375000</v>
      </c>
      <c r="E176" s="11"/>
      <c r="F176" s="11"/>
    </row>
    <row r="177" spans="1:6" x14ac:dyDescent="0.2">
      <c r="A177" s="1"/>
      <c r="B177" s="156">
        <f t="shared" ref="B177:D190" si="6">B81</f>
        <v>9602</v>
      </c>
      <c r="C177" s="40" t="str">
        <f t="shared" si="6"/>
        <v>Sueldos</v>
      </c>
      <c r="D177" s="194">
        <f t="shared" si="6"/>
        <v>330000</v>
      </c>
      <c r="E177" s="11"/>
      <c r="F177" s="11"/>
    </row>
    <row r="178" spans="1:6" x14ac:dyDescent="0.2">
      <c r="A178" s="1"/>
      <c r="B178" s="30">
        <f t="shared" si="6"/>
        <v>9603</v>
      </c>
      <c r="C178" s="155" t="str">
        <f t="shared" si="6"/>
        <v>Vacaciones</v>
      </c>
      <c r="D178" s="193">
        <f t="shared" si="6"/>
        <v>30000</v>
      </c>
      <c r="E178" s="11"/>
      <c r="F178" s="11"/>
    </row>
    <row r="179" spans="1:6" x14ac:dyDescent="0.2">
      <c r="A179" s="1"/>
      <c r="B179" s="156">
        <f t="shared" si="6"/>
        <v>9604</v>
      </c>
      <c r="C179" s="40" t="str">
        <f t="shared" si="6"/>
        <v>Seguridad y previsión social</v>
      </c>
      <c r="D179" s="195">
        <f t="shared" si="6"/>
        <v>32400</v>
      </c>
      <c r="E179" s="11"/>
      <c r="F179" s="11"/>
    </row>
    <row r="180" spans="1:6" x14ac:dyDescent="0.2">
      <c r="A180" s="1"/>
      <c r="B180" s="30">
        <f t="shared" si="6"/>
        <v>9605</v>
      </c>
      <c r="C180" s="155" t="str">
        <f t="shared" si="6"/>
        <v>CTS</v>
      </c>
      <c r="D180" s="193">
        <f t="shared" si="6"/>
        <v>30000</v>
      </c>
      <c r="E180" s="11"/>
      <c r="F180" s="11"/>
    </row>
    <row r="181" spans="1:6" x14ac:dyDescent="0.2">
      <c r="A181" s="1"/>
      <c r="B181" s="156">
        <f t="shared" si="6"/>
        <v>9606</v>
      </c>
      <c r="C181" s="40" t="str">
        <f t="shared" si="6"/>
        <v>Transporte</v>
      </c>
      <c r="D181" s="195">
        <f t="shared" si="6"/>
        <v>14000</v>
      </c>
      <c r="E181" s="11"/>
      <c r="F181" s="11"/>
    </row>
    <row r="182" spans="1:6" x14ac:dyDescent="0.2">
      <c r="A182" s="1"/>
      <c r="B182" s="30">
        <f t="shared" si="6"/>
        <v>9607</v>
      </c>
      <c r="C182" s="155" t="str">
        <f t="shared" si="6"/>
        <v>Teléfono</v>
      </c>
      <c r="D182" s="193">
        <f t="shared" si="6"/>
        <v>32500</v>
      </c>
      <c r="E182" s="11"/>
      <c r="F182" s="11"/>
    </row>
    <row r="183" spans="1:6" x14ac:dyDescent="0.2">
      <c r="A183" s="1"/>
      <c r="B183" s="156">
        <f t="shared" si="6"/>
        <v>9608</v>
      </c>
      <c r="C183" s="40" t="str">
        <f t="shared" si="6"/>
        <v>Mantenimiento y reparaciones</v>
      </c>
      <c r="D183" s="195">
        <f t="shared" si="6"/>
        <v>4000</v>
      </c>
      <c r="E183" s="11"/>
      <c r="F183" s="11"/>
    </row>
    <row r="184" spans="1:6" x14ac:dyDescent="0.2">
      <c r="A184" s="1"/>
      <c r="B184" s="30">
        <f t="shared" si="6"/>
        <v>9609</v>
      </c>
      <c r="C184" s="155" t="str">
        <f t="shared" si="6"/>
        <v>Alquileres</v>
      </c>
      <c r="D184" s="193">
        <f t="shared" si="6"/>
        <v>90000</v>
      </c>
      <c r="E184" s="11"/>
      <c r="F184" s="11"/>
    </row>
    <row r="185" spans="1:6" x14ac:dyDescent="0.2">
      <c r="A185" s="1"/>
      <c r="B185" s="156">
        <f t="shared" si="6"/>
        <v>9610</v>
      </c>
      <c r="C185" s="40" t="str">
        <f t="shared" si="6"/>
        <v>Agua</v>
      </c>
      <c r="D185" s="196">
        <f t="shared" si="6"/>
        <v>5000</v>
      </c>
      <c r="E185" s="11"/>
      <c r="F185" s="11"/>
    </row>
    <row r="186" spans="1:6" x14ac:dyDescent="0.2">
      <c r="A186" s="1"/>
      <c r="B186" s="30">
        <f t="shared" si="6"/>
        <v>9611</v>
      </c>
      <c r="C186" s="155" t="str">
        <f t="shared" si="6"/>
        <v>Gastos bancarios</v>
      </c>
      <c r="D186" s="193">
        <f t="shared" si="6"/>
        <v>1300</v>
      </c>
      <c r="E186" s="11"/>
      <c r="F186" s="11"/>
    </row>
    <row r="187" spans="1:6" x14ac:dyDescent="0.2">
      <c r="A187" s="1"/>
      <c r="B187" s="156">
        <f t="shared" si="6"/>
        <v>9612</v>
      </c>
      <c r="C187" s="40" t="str">
        <f t="shared" si="6"/>
        <v>Cánones</v>
      </c>
      <c r="D187" s="194">
        <f t="shared" si="6"/>
        <v>18500</v>
      </c>
      <c r="E187" s="11"/>
      <c r="F187" s="11"/>
    </row>
    <row r="188" spans="1:6" x14ac:dyDescent="0.2">
      <c r="A188" s="1"/>
      <c r="B188" s="30">
        <f t="shared" si="6"/>
        <v>9613</v>
      </c>
      <c r="C188" s="197" t="s">
        <v>34</v>
      </c>
      <c r="D188" s="193">
        <f t="shared" si="6"/>
        <v>14100</v>
      </c>
      <c r="E188" s="11"/>
      <c r="F188" s="11"/>
    </row>
    <row r="189" spans="1:6" x14ac:dyDescent="0.2">
      <c r="A189" s="1"/>
      <c r="B189" s="156">
        <f t="shared" si="6"/>
        <v>9614</v>
      </c>
      <c r="C189" s="198" t="s">
        <v>165</v>
      </c>
      <c r="D189" s="195">
        <f t="shared" si="6"/>
        <v>11800</v>
      </c>
      <c r="E189" s="11"/>
      <c r="F189" s="11"/>
    </row>
    <row r="190" spans="1:6" x14ac:dyDescent="0.2">
      <c r="A190" s="1"/>
      <c r="B190" s="30">
        <f t="shared" si="6"/>
        <v>9615</v>
      </c>
      <c r="C190" s="197" t="s">
        <v>100</v>
      </c>
      <c r="D190" s="193">
        <f t="shared" si="6"/>
        <v>22000</v>
      </c>
      <c r="E190" s="11"/>
      <c r="F190" s="11"/>
    </row>
    <row r="191" spans="1:6" x14ac:dyDescent="0.2">
      <c r="A191" s="1"/>
      <c r="B191" s="154">
        <v>9616</v>
      </c>
      <c r="C191" s="199" t="s">
        <v>36</v>
      </c>
      <c r="D191" s="196">
        <v>431500</v>
      </c>
      <c r="E191" s="11"/>
      <c r="F191" s="11"/>
    </row>
    <row r="192" spans="1:6" x14ac:dyDescent="0.2">
      <c r="A192" s="1"/>
      <c r="B192" s="154"/>
      <c r="C192" s="153">
        <v>10</v>
      </c>
      <c r="D192" s="157"/>
      <c r="E192" s="11"/>
      <c r="F192" s="11"/>
    </row>
    <row r="193" spans="1:6" x14ac:dyDescent="0.2">
      <c r="A193" s="1">
        <v>98</v>
      </c>
      <c r="B193" s="30"/>
      <c r="C193" s="152" t="s">
        <v>19</v>
      </c>
      <c r="D193" s="11"/>
      <c r="E193" s="11">
        <f>D236</f>
        <v>61859237.837272763</v>
      </c>
      <c r="F193" s="11"/>
    </row>
    <row r="194" spans="1:6" x14ac:dyDescent="0.2">
      <c r="A194" s="1">
        <v>90</v>
      </c>
      <c r="B194" s="30"/>
      <c r="C194" s="142" t="s">
        <v>16</v>
      </c>
      <c r="D194" s="11"/>
      <c r="E194" s="11"/>
      <c r="F194" s="11">
        <f>D195</f>
        <v>61859237.837272763</v>
      </c>
    </row>
    <row r="195" spans="1:6" x14ac:dyDescent="0.2">
      <c r="A195" s="1"/>
      <c r="B195" s="30">
        <v>9010</v>
      </c>
      <c r="C195" s="27" t="s">
        <v>37</v>
      </c>
      <c r="D195" s="11">
        <f>E168-E172</f>
        <v>61859237.837272763</v>
      </c>
      <c r="E195" s="11"/>
      <c r="F195" s="11"/>
    </row>
    <row r="196" spans="1:6" x14ac:dyDescent="0.2">
      <c r="A196" s="1"/>
      <c r="B196" s="30"/>
      <c r="C196" s="24">
        <v>11</v>
      </c>
      <c r="D196" s="11"/>
      <c r="E196" s="11"/>
      <c r="F196" s="11"/>
    </row>
    <row r="197" spans="1:6" x14ac:dyDescent="0.2">
      <c r="A197" s="1">
        <v>90</v>
      </c>
      <c r="B197" s="30"/>
      <c r="C197" s="152" t="s">
        <v>16</v>
      </c>
      <c r="D197" s="11"/>
      <c r="E197" s="11">
        <v>3000000</v>
      </c>
      <c r="F197" s="11"/>
    </row>
    <row r="198" spans="1:6" x14ac:dyDescent="0.2">
      <c r="A198" s="1"/>
      <c r="B198" s="30">
        <v>9011</v>
      </c>
      <c r="C198" s="152" t="s">
        <v>128</v>
      </c>
      <c r="D198" s="11">
        <v>3000000</v>
      </c>
      <c r="E198" s="11"/>
      <c r="F198" s="11"/>
    </row>
    <row r="199" spans="1:6" x14ac:dyDescent="0.2">
      <c r="A199" s="1">
        <v>97</v>
      </c>
      <c r="B199" s="30"/>
      <c r="C199" s="152" t="s">
        <v>3</v>
      </c>
      <c r="D199" s="11"/>
      <c r="E199" s="11"/>
      <c r="F199" s="11">
        <v>3000000</v>
      </c>
    </row>
    <row r="200" spans="1:6" x14ac:dyDescent="0.2">
      <c r="A200" s="1"/>
      <c r="B200" s="30">
        <v>9701</v>
      </c>
      <c r="C200" s="152" t="s">
        <v>12</v>
      </c>
      <c r="D200" s="11">
        <v>3000000</v>
      </c>
      <c r="E200" s="11"/>
      <c r="F200" s="11"/>
    </row>
    <row r="201" spans="1:6" x14ac:dyDescent="0.2">
      <c r="A201" s="1"/>
      <c r="B201" s="30"/>
      <c r="C201" s="202">
        <v>12</v>
      </c>
      <c r="D201" s="11"/>
      <c r="E201" s="11"/>
      <c r="F201" s="11"/>
    </row>
    <row r="202" spans="1:6" x14ac:dyDescent="0.2">
      <c r="A202" s="1">
        <v>90</v>
      </c>
      <c r="B202" s="30"/>
      <c r="C202" s="25" t="s">
        <v>16</v>
      </c>
      <c r="D202" s="11"/>
      <c r="E202" s="23">
        <f>SUM(D203:D211)</f>
        <v>360641000.00090909</v>
      </c>
      <c r="F202" s="11"/>
    </row>
    <row r="203" spans="1:6" x14ac:dyDescent="0.2">
      <c r="A203" s="1"/>
      <c r="B203" s="30">
        <v>9001</v>
      </c>
      <c r="C203" s="135" t="s">
        <v>152</v>
      </c>
      <c r="D203" s="11">
        <f>D7</f>
        <v>174667800</v>
      </c>
      <c r="E203" s="23"/>
      <c r="F203" s="11"/>
    </row>
    <row r="204" spans="1:6" x14ac:dyDescent="0.2">
      <c r="A204" s="1"/>
      <c r="B204" s="30">
        <v>9002</v>
      </c>
      <c r="C204" s="25" t="str">
        <f>C12</f>
        <v>Compras reflejas</v>
      </c>
      <c r="D204" s="11">
        <f>D12</f>
        <v>1782000</v>
      </c>
      <c r="E204" s="11"/>
      <c r="F204" s="11"/>
    </row>
    <row r="205" spans="1:6" x14ac:dyDescent="0.2">
      <c r="A205" s="1"/>
      <c r="B205" s="30">
        <v>9003</v>
      </c>
      <c r="C205" s="25" t="str">
        <f>C38</f>
        <v>Gastos de personal, directores y gerentes reflejos</v>
      </c>
      <c r="D205" s="11">
        <f>D38</f>
        <v>5306262.163636364</v>
      </c>
      <c r="E205" s="11"/>
      <c r="F205" s="11"/>
    </row>
    <row r="206" spans="1:6" x14ac:dyDescent="0.2">
      <c r="A206" s="1"/>
      <c r="B206" s="30">
        <v>9004</v>
      </c>
      <c r="C206" s="25" t="str">
        <f t="shared" ref="C206:D210" si="7">C39</f>
        <v>Gastos de servicios prestados por terceros reflejos</v>
      </c>
      <c r="D206" s="11">
        <f t="shared" si="7"/>
        <v>512800</v>
      </c>
      <c r="E206" s="11"/>
      <c r="F206" s="11"/>
    </row>
    <row r="207" spans="1:6" x14ac:dyDescent="0.2">
      <c r="A207" s="1"/>
      <c r="B207" s="30">
        <v>9005</v>
      </c>
      <c r="C207" s="25" t="str">
        <f t="shared" si="7"/>
        <v>Gastos por tributos reflejos</v>
      </c>
      <c r="D207" s="11">
        <f t="shared" si="7"/>
        <v>32600</v>
      </c>
      <c r="E207" s="11"/>
      <c r="F207" s="11"/>
    </row>
    <row r="208" spans="1:6" x14ac:dyDescent="0.2">
      <c r="A208" s="1"/>
      <c r="B208" s="30">
        <v>9006</v>
      </c>
      <c r="C208" s="25" t="str">
        <f t="shared" si="7"/>
        <v>Otros gastos de gestión reflejos</v>
      </c>
      <c r="D208" s="11">
        <f t="shared" si="7"/>
        <v>61800</v>
      </c>
      <c r="E208" s="11"/>
      <c r="F208" s="11"/>
    </row>
    <row r="209" spans="1:6" x14ac:dyDescent="0.2">
      <c r="A209" s="1"/>
      <c r="B209" s="30">
        <v>9007</v>
      </c>
      <c r="C209" s="25" t="str">
        <f t="shared" si="7"/>
        <v>Gastos financieros reflejos</v>
      </c>
      <c r="D209" s="11">
        <f t="shared" si="7"/>
        <v>22000</v>
      </c>
      <c r="E209" s="11"/>
      <c r="F209" s="11"/>
    </row>
    <row r="210" spans="1:6" x14ac:dyDescent="0.2">
      <c r="A210" s="1"/>
      <c r="B210" s="30">
        <v>9008</v>
      </c>
      <c r="C210" s="25" t="str">
        <f t="shared" si="7"/>
        <v>Valuación y deterioro de activos y provisiones reflejos</v>
      </c>
      <c r="D210" s="11">
        <f t="shared" si="7"/>
        <v>116396500</v>
      </c>
      <c r="E210" s="11"/>
      <c r="F210" s="11"/>
    </row>
    <row r="211" spans="1:6" x14ac:dyDescent="0.2">
      <c r="A211" s="1"/>
      <c r="B211" s="30">
        <v>9010</v>
      </c>
      <c r="C211" s="25" t="str">
        <f>C195</f>
        <v xml:space="preserve"> Pérdidas y Ganancias reflejas</v>
      </c>
      <c r="D211" s="11">
        <f>D195</f>
        <v>61859237.837272763</v>
      </c>
      <c r="E211" s="11"/>
      <c r="F211" s="11"/>
    </row>
    <row r="212" spans="1:6" x14ac:dyDescent="0.2">
      <c r="A212" s="1">
        <v>90</v>
      </c>
      <c r="B212" s="30"/>
      <c r="C212" s="25" t="s">
        <v>4</v>
      </c>
      <c r="D212" s="11"/>
      <c r="E212" s="11"/>
      <c r="F212" s="11">
        <f>SUM(D213:D214)</f>
        <v>360641000</v>
      </c>
    </row>
    <row r="213" spans="1:6" x14ac:dyDescent="0.2">
      <c r="A213" s="1"/>
      <c r="B213" s="30">
        <v>9009</v>
      </c>
      <c r="C213" s="25" t="s">
        <v>17</v>
      </c>
      <c r="D213" s="11">
        <f>E168</f>
        <v>357641000</v>
      </c>
      <c r="E213" s="11"/>
      <c r="F213" s="11"/>
    </row>
    <row r="214" spans="1:6" x14ac:dyDescent="0.2">
      <c r="A214" s="45"/>
      <c r="B214" s="46">
        <v>9011</v>
      </c>
      <c r="C214" s="158" t="s">
        <v>128</v>
      </c>
      <c r="D214" s="22">
        <f>(E3+E9)-F34</f>
        <v>3000000</v>
      </c>
      <c r="E214" s="11"/>
      <c r="F214" s="11"/>
    </row>
    <row r="215" spans="1:6" x14ac:dyDescent="0.2">
      <c r="A215" s="1"/>
      <c r="B215" s="30"/>
      <c r="C215" s="137"/>
      <c r="D215" s="11"/>
      <c r="E215" s="11"/>
      <c r="F215" s="11"/>
    </row>
    <row r="216" spans="1:6" x14ac:dyDescent="0.2">
      <c r="A216" s="1"/>
      <c r="B216" s="156"/>
      <c r="C216" s="162"/>
      <c r="D216" s="144"/>
      <c r="E216" s="11"/>
      <c r="F216" s="11"/>
    </row>
    <row r="217" spans="1:6" x14ac:dyDescent="0.2">
      <c r="A217" s="1"/>
      <c r="B217" s="30"/>
      <c r="C217" s="148"/>
      <c r="D217" s="11"/>
      <c r="E217" s="11"/>
      <c r="F217" s="11"/>
    </row>
    <row r="218" spans="1:6" x14ac:dyDescent="0.2">
      <c r="A218" s="1"/>
      <c r="B218" s="156"/>
      <c r="C218" s="41"/>
      <c r="D218" s="144"/>
      <c r="F218" s="11"/>
    </row>
    <row r="219" spans="1:6" x14ac:dyDescent="0.2">
      <c r="A219" s="1"/>
      <c r="B219" s="30"/>
      <c r="C219" s="163"/>
      <c r="D219" s="11"/>
      <c r="E219" s="11"/>
      <c r="F219" s="11"/>
    </row>
    <row r="220" spans="1:6" x14ac:dyDescent="0.2">
      <c r="A220" s="1"/>
      <c r="B220" s="156"/>
      <c r="C220" s="41"/>
      <c r="D220" s="144"/>
      <c r="E220" s="11"/>
      <c r="F220" s="11"/>
    </row>
    <row r="221" spans="1:6" x14ac:dyDescent="0.2">
      <c r="A221" s="1"/>
      <c r="B221" s="30"/>
      <c r="C221" s="163"/>
      <c r="D221" s="11"/>
      <c r="E221" s="11"/>
      <c r="F221" s="11"/>
    </row>
    <row r="222" spans="1:6" x14ac:dyDescent="0.2">
      <c r="A222" s="1"/>
      <c r="B222" s="156"/>
      <c r="C222" s="41"/>
      <c r="D222" s="144"/>
      <c r="E222" s="11"/>
      <c r="F222" s="11"/>
    </row>
    <row r="223" spans="1:6" x14ac:dyDescent="0.2">
      <c r="A223" s="1"/>
      <c r="B223" s="30"/>
      <c r="C223" s="163"/>
      <c r="D223" s="11"/>
      <c r="E223" s="11"/>
      <c r="F223" s="11"/>
    </row>
    <row r="224" spans="1:6" x14ac:dyDescent="0.2">
      <c r="A224" s="1"/>
      <c r="B224" s="156"/>
      <c r="C224" s="41"/>
      <c r="D224" s="144"/>
      <c r="E224" s="11"/>
      <c r="F224" s="11"/>
    </row>
    <row r="225" spans="1:6" x14ac:dyDescent="0.2">
      <c r="A225" s="1"/>
      <c r="B225" s="30"/>
      <c r="C225" s="163"/>
      <c r="D225" s="11"/>
      <c r="E225" s="11"/>
      <c r="F225" s="11"/>
    </row>
    <row r="226" spans="1:6" x14ac:dyDescent="0.2">
      <c r="A226" s="1"/>
      <c r="B226" s="156"/>
      <c r="C226" s="41"/>
      <c r="D226" s="144"/>
      <c r="E226" s="11"/>
      <c r="F226" s="11"/>
    </row>
    <row r="227" spans="1:6" x14ac:dyDescent="0.2">
      <c r="A227" s="1"/>
      <c r="B227" s="30"/>
      <c r="C227" s="163"/>
      <c r="D227" s="11"/>
      <c r="E227" s="11"/>
      <c r="F227" s="11"/>
    </row>
    <row r="228" spans="1:6" x14ac:dyDescent="0.2">
      <c r="A228" s="1"/>
      <c r="B228" s="156"/>
      <c r="C228" s="41"/>
      <c r="D228" s="144"/>
      <c r="E228" s="11"/>
      <c r="F228" s="11"/>
    </row>
    <row r="229" spans="1:6" x14ac:dyDescent="0.2">
      <c r="A229" s="1"/>
      <c r="B229" s="30"/>
      <c r="C229" s="163"/>
      <c r="D229" s="11"/>
      <c r="E229" s="11"/>
      <c r="F229" s="11"/>
    </row>
    <row r="230" spans="1:6" x14ac:dyDescent="0.2">
      <c r="A230" s="1"/>
      <c r="B230" s="30"/>
      <c r="C230" s="163"/>
      <c r="D230" s="11"/>
      <c r="E230" s="136">
        <f>SUM(E3:E229)</f>
        <v>2729955310.8154545</v>
      </c>
      <c r="F230" s="136">
        <f>SUM(F3:F229)</f>
        <v>2729955310.8154545</v>
      </c>
    </row>
    <row r="233" spans="1:6" ht="13.5" thickBot="1" x14ac:dyDescent="0.25">
      <c r="A233" s="41"/>
      <c r="B233" s="40"/>
      <c r="C233" s="41"/>
      <c r="D233" s="275" t="s">
        <v>129</v>
      </c>
      <c r="E233" s="276"/>
      <c r="F233" s="14"/>
    </row>
    <row r="234" spans="1:6" x14ac:dyDescent="0.2">
      <c r="A234" s="41"/>
      <c r="B234" s="40"/>
      <c r="C234" s="41"/>
      <c r="D234" s="38">
        <f>'Diario CAE'!E172</f>
        <v>295781762.16272724</v>
      </c>
      <c r="E234" s="14">
        <f>F170</f>
        <v>357641000</v>
      </c>
      <c r="F234" s="14"/>
    </row>
    <row r="235" spans="1:6" x14ac:dyDescent="0.2">
      <c r="A235" s="41"/>
      <c r="B235" s="40"/>
      <c r="C235" s="41"/>
      <c r="D235" s="39"/>
      <c r="E235" s="14"/>
      <c r="F235" s="14"/>
    </row>
    <row r="236" spans="1:6" ht="13.5" thickBot="1" x14ac:dyDescent="0.25">
      <c r="A236" s="41"/>
      <c r="B236" s="40"/>
      <c r="C236" s="41"/>
      <c r="D236" s="43">
        <f>E234-D234</f>
        <v>61859237.837272763</v>
      </c>
      <c r="E236" s="42"/>
      <c r="F236" s="14"/>
    </row>
    <row r="237" spans="1:6" x14ac:dyDescent="0.2">
      <c r="A237" s="41"/>
      <c r="B237" s="40"/>
      <c r="C237" s="41"/>
      <c r="D237" s="200">
        <f>SUM(D234:D236)</f>
        <v>357641000</v>
      </c>
      <c r="E237" s="201">
        <f>SUM(E234:E236)</f>
        <v>357641000</v>
      </c>
      <c r="F237" s="14"/>
    </row>
    <row r="238" spans="1:6" x14ac:dyDescent="0.2">
      <c r="A238" s="41"/>
      <c r="B238" s="40"/>
      <c r="C238" s="41"/>
      <c r="D238" s="14"/>
      <c r="E238" s="14"/>
      <c r="F238" s="14"/>
    </row>
    <row r="239" spans="1:6" x14ac:dyDescent="0.2">
      <c r="A239" s="41"/>
      <c r="B239" s="40"/>
      <c r="C239" s="41"/>
      <c r="D239" s="14"/>
      <c r="E239" s="14"/>
      <c r="F239" s="14"/>
    </row>
    <row r="240" spans="1:6" x14ac:dyDescent="0.2">
      <c r="A240" s="41"/>
      <c r="B240" s="40"/>
      <c r="C240" s="41"/>
      <c r="D240" s="14"/>
      <c r="E240" s="14"/>
      <c r="F240" s="14"/>
    </row>
    <row r="241" spans="1:6" x14ac:dyDescent="0.2">
      <c r="A241" s="41"/>
      <c r="B241" s="40"/>
      <c r="C241" s="41"/>
      <c r="D241" s="14"/>
      <c r="E241" s="14"/>
      <c r="F241" s="14"/>
    </row>
    <row r="242" spans="1:6" x14ac:dyDescent="0.2">
      <c r="A242" s="41"/>
      <c r="B242" s="40"/>
      <c r="C242" s="41"/>
      <c r="D242" s="14"/>
      <c r="E242" s="14"/>
      <c r="F242" s="14"/>
    </row>
    <row r="243" spans="1:6" x14ac:dyDescent="0.2">
      <c r="A243" s="41"/>
      <c r="B243" s="40"/>
      <c r="C243" s="41"/>
      <c r="D243" s="14"/>
      <c r="E243" s="14"/>
      <c r="F243" s="14"/>
    </row>
    <row r="244" spans="1:6" x14ac:dyDescent="0.2">
      <c r="A244" s="41"/>
      <c r="B244" s="40"/>
      <c r="C244" s="41"/>
      <c r="D244" s="14"/>
      <c r="E244" s="14"/>
      <c r="F244" s="14"/>
    </row>
    <row r="245" spans="1:6" x14ac:dyDescent="0.2">
      <c r="A245" s="41"/>
      <c r="B245" s="40"/>
      <c r="C245" s="41"/>
      <c r="D245" s="14"/>
      <c r="E245" s="14"/>
      <c r="F245" s="14"/>
    </row>
    <row r="246" spans="1:6" x14ac:dyDescent="0.2">
      <c r="A246" s="41"/>
      <c r="B246" s="40"/>
      <c r="C246" s="41"/>
      <c r="D246" s="14"/>
      <c r="E246" s="14"/>
      <c r="F246" s="14"/>
    </row>
    <row r="247" spans="1:6" x14ac:dyDescent="0.2">
      <c r="A247" s="41"/>
      <c r="B247" s="40"/>
      <c r="C247" s="41"/>
      <c r="D247" s="14"/>
      <c r="E247" s="14"/>
      <c r="F247" s="14"/>
    </row>
    <row r="248" spans="1:6" x14ac:dyDescent="0.2">
      <c r="A248" s="41"/>
      <c r="B248" s="40"/>
      <c r="C248" s="41"/>
      <c r="D248" s="14"/>
      <c r="E248" s="14"/>
      <c r="F248" s="14"/>
    </row>
    <row r="271" spans="1:7" x14ac:dyDescent="0.2">
      <c r="G271" s="41"/>
    </row>
    <row r="272" spans="1:7" s="41" customFormat="1" x14ac:dyDescent="0.2">
      <c r="A272"/>
      <c r="B272" s="32"/>
      <c r="C272"/>
      <c r="D272" s="2"/>
      <c r="E272" s="2"/>
      <c r="F272" s="2"/>
    </row>
    <row r="273" spans="1:7" s="41" customFormat="1" x14ac:dyDescent="0.2">
      <c r="A273"/>
      <c r="B273" s="32"/>
      <c r="C273"/>
      <c r="D273" s="2"/>
      <c r="E273" s="2"/>
      <c r="F273" s="2"/>
    </row>
    <row r="274" spans="1:7" s="41" customFormat="1" x14ac:dyDescent="0.2">
      <c r="A274"/>
      <c r="B274" s="32"/>
      <c r="C274"/>
      <c r="D274" s="2"/>
      <c r="E274" s="2"/>
      <c r="F274" s="2"/>
    </row>
    <row r="275" spans="1:7" s="41" customFormat="1" x14ac:dyDescent="0.2">
      <c r="A275"/>
      <c r="B275" s="32"/>
      <c r="C275"/>
      <c r="D275" s="2"/>
      <c r="E275" s="2"/>
      <c r="F275" s="2"/>
    </row>
    <row r="276" spans="1:7" s="41" customFormat="1" x14ac:dyDescent="0.2">
      <c r="A276"/>
      <c r="B276" s="32"/>
      <c r="C276"/>
      <c r="D276" s="2"/>
      <c r="E276" s="2"/>
      <c r="F276" s="2"/>
    </row>
    <row r="277" spans="1:7" s="41" customFormat="1" x14ac:dyDescent="0.2">
      <c r="A277"/>
      <c r="B277" s="32"/>
      <c r="C277"/>
      <c r="D277" s="2"/>
      <c r="E277" s="2"/>
      <c r="F277" s="2"/>
    </row>
    <row r="278" spans="1:7" s="41" customFormat="1" x14ac:dyDescent="0.2">
      <c r="A278"/>
      <c r="B278" s="32"/>
      <c r="C278"/>
      <c r="D278" s="2"/>
      <c r="E278" s="2"/>
      <c r="F278" s="2"/>
    </row>
    <row r="279" spans="1:7" s="41" customFormat="1" x14ac:dyDescent="0.2">
      <c r="A279"/>
      <c r="B279" s="32"/>
      <c r="C279"/>
      <c r="D279" s="2"/>
      <c r="E279" s="2"/>
      <c r="F279" s="2"/>
    </row>
    <row r="280" spans="1:7" s="41" customFormat="1" x14ac:dyDescent="0.2">
      <c r="A280"/>
      <c r="B280" s="32"/>
      <c r="C280"/>
      <c r="D280" s="2"/>
      <c r="E280" s="2"/>
      <c r="F280" s="2"/>
    </row>
    <row r="281" spans="1:7" s="41" customFormat="1" x14ac:dyDescent="0.2">
      <c r="A281"/>
      <c r="B281" s="32"/>
      <c r="C281"/>
      <c r="D281" s="2"/>
      <c r="E281" s="2"/>
      <c r="F281" s="2"/>
    </row>
    <row r="282" spans="1:7" s="41" customFormat="1" x14ac:dyDescent="0.2">
      <c r="A282"/>
      <c r="B282" s="32"/>
      <c r="C282"/>
      <c r="D282" s="2"/>
      <c r="E282" s="2"/>
      <c r="F282" s="2"/>
    </row>
    <row r="283" spans="1:7" s="41" customFormat="1" x14ac:dyDescent="0.2">
      <c r="A283"/>
      <c r="B283" s="32"/>
      <c r="C283"/>
      <c r="D283" s="2"/>
      <c r="E283" s="2"/>
      <c r="F283" s="2"/>
    </row>
    <row r="284" spans="1:7" s="41" customFormat="1" x14ac:dyDescent="0.2">
      <c r="A284"/>
      <c r="B284" s="32"/>
      <c r="C284"/>
      <c r="D284" s="2"/>
      <c r="E284" s="2"/>
      <c r="F284" s="2"/>
    </row>
    <row r="285" spans="1:7" s="41" customFormat="1" x14ac:dyDescent="0.2">
      <c r="A285"/>
      <c r="B285" s="32"/>
      <c r="C285"/>
      <c r="D285" s="2"/>
      <c r="E285" s="2"/>
      <c r="F285" s="2"/>
    </row>
    <row r="286" spans="1:7" s="41" customFormat="1" x14ac:dyDescent="0.2">
      <c r="A286"/>
      <c r="B286" s="32"/>
      <c r="C286"/>
      <c r="D286" s="2"/>
      <c r="E286" s="2"/>
      <c r="F286" s="2"/>
    </row>
    <row r="287" spans="1:7" s="41" customFormat="1" x14ac:dyDescent="0.2">
      <c r="A287"/>
      <c r="B287" s="32"/>
      <c r="C287"/>
      <c r="D287" s="2"/>
      <c r="E287" s="2"/>
      <c r="F287" s="2"/>
      <c r="G287"/>
    </row>
  </sheetData>
  <mergeCells count="2">
    <mergeCell ref="A1:F1"/>
    <mergeCell ref="D233:E233"/>
  </mergeCells>
  <phoneticPr fontId="3" type="noConversion"/>
  <pageMargins left="0.33" right="0.27559055118110237" top="0.47244094488188981" bottom="0.19685039370078741" header="0.25" footer="0"/>
  <pageSetup paperSize="9" scale="94" orientation="portrait" verticalDpi="144" r:id="rId1"/>
  <headerFooter alignWithMargins="0">
    <oddHeader>&amp;C&amp;"Monotype Corsiva,Normal"CPC. Yónel Chocano Figueroa.</oddHeader>
  </headerFooter>
  <rowBreaks count="1" manualBreakCount="1">
    <brk id="1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M37"/>
  <sheetViews>
    <sheetView view="pageLayout" workbookViewId="0">
      <selection activeCell="A27" sqref="A27:L27"/>
    </sheetView>
  </sheetViews>
  <sheetFormatPr baseColWidth="10" defaultRowHeight="12.75" x14ac:dyDescent="0.2"/>
  <cols>
    <col min="1" max="1" width="19.42578125" customWidth="1"/>
    <col min="2" max="2" width="8.7109375" customWidth="1"/>
    <col min="3" max="3" width="8.85546875" customWidth="1"/>
    <col min="4" max="4" width="10" customWidth="1"/>
    <col min="5" max="5" width="9.28515625" customWidth="1"/>
    <col min="6" max="6" width="9.85546875" customWidth="1"/>
    <col min="7" max="7" width="9.42578125" customWidth="1"/>
    <col min="8" max="8" width="11" customWidth="1"/>
    <col min="9" max="9" width="11.28515625" customWidth="1"/>
    <col min="10" max="10" width="12" customWidth="1"/>
    <col min="11" max="11" width="11" customWidth="1"/>
    <col min="12" max="12" width="12.42578125" customWidth="1"/>
    <col min="13" max="13" width="19.85546875" customWidth="1"/>
  </cols>
  <sheetData>
    <row r="1" spans="1:13" x14ac:dyDescent="0.2">
      <c r="A1" s="51" t="s">
        <v>61</v>
      </c>
      <c r="B1" s="266" t="s">
        <v>54</v>
      </c>
      <c r="C1" s="267"/>
      <c r="D1" s="267"/>
      <c r="E1" s="267"/>
      <c r="F1" s="267"/>
      <c r="G1" s="279" t="s">
        <v>60</v>
      </c>
      <c r="H1" s="280"/>
      <c r="I1" s="281"/>
      <c r="J1" s="281"/>
      <c r="K1" s="281"/>
      <c r="L1" s="282"/>
      <c r="M1" s="71"/>
    </row>
    <row r="2" spans="1:13" x14ac:dyDescent="0.2">
      <c r="A2" s="134" t="s">
        <v>108</v>
      </c>
      <c r="B2" s="282">
        <v>84</v>
      </c>
      <c r="C2" s="267">
        <v>90</v>
      </c>
      <c r="D2" s="284">
        <v>95</v>
      </c>
      <c r="E2" s="267">
        <v>97</v>
      </c>
      <c r="F2" s="285" t="s">
        <v>53</v>
      </c>
      <c r="G2" s="69" t="s">
        <v>66</v>
      </c>
      <c r="H2" s="68" t="s">
        <v>68</v>
      </c>
      <c r="I2" s="278" t="s">
        <v>59</v>
      </c>
      <c r="J2" s="266" t="s">
        <v>55</v>
      </c>
      <c r="K2" s="266" t="s">
        <v>56</v>
      </c>
      <c r="L2" s="266" t="s">
        <v>58</v>
      </c>
      <c r="M2" s="40"/>
    </row>
    <row r="3" spans="1:13" x14ac:dyDescent="0.2">
      <c r="A3" s="129" t="s">
        <v>109</v>
      </c>
      <c r="B3" s="282"/>
      <c r="C3" s="267"/>
      <c r="D3" s="284"/>
      <c r="E3" s="267"/>
      <c r="F3" s="285"/>
      <c r="G3" s="72" t="s">
        <v>57</v>
      </c>
      <c r="H3" s="70" t="s">
        <v>67</v>
      </c>
      <c r="I3" s="278"/>
      <c r="J3" s="266"/>
      <c r="K3" s="266"/>
      <c r="L3" s="266"/>
      <c r="M3" s="40"/>
    </row>
    <row r="4" spans="1:13" x14ac:dyDescent="0.2">
      <c r="A4" s="73" t="s">
        <v>62</v>
      </c>
      <c r="B4" s="45"/>
      <c r="C4" s="45"/>
      <c r="E4" s="57"/>
      <c r="G4" s="45"/>
      <c r="H4" s="41"/>
      <c r="I4" s="45"/>
      <c r="J4" s="41"/>
      <c r="K4" s="45"/>
      <c r="L4" s="45"/>
      <c r="M4" s="41"/>
    </row>
    <row r="5" spans="1:13" x14ac:dyDescent="0.2">
      <c r="A5" s="65">
        <v>100000</v>
      </c>
      <c r="B5" s="57">
        <v>7</v>
      </c>
      <c r="C5" s="57">
        <v>6</v>
      </c>
      <c r="D5">
        <v>4</v>
      </c>
      <c r="E5" s="57">
        <v>3</v>
      </c>
      <c r="F5" s="53">
        <v>20</v>
      </c>
      <c r="G5" s="57">
        <v>8</v>
      </c>
      <c r="H5" s="41">
        <v>4</v>
      </c>
      <c r="I5" s="57">
        <v>3</v>
      </c>
      <c r="J5" s="41">
        <v>1.5</v>
      </c>
      <c r="K5" s="57">
        <v>1.5</v>
      </c>
      <c r="L5" s="57">
        <v>6</v>
      </c>
      <c r="M5" s="41"/>
    </row>
    <row r="6" spans="1:13" x14ac:dyDescent="0.2">
      <c r="A6" s="57">
        <v>60.66</v>
      </c>
      <c r="B6" s="57"/>
      <c r="C6" s="57"/>
      <c r="E6" s="57"/>
      <c r="G6" s="57"/>
      <c r="H6" s="41"/>
      <c r="I6" s="57"/>
      <c r="J6" s="41"/>
      <c r="K6" s="57"/>
      <c r="L6" s="57"/>
      <c r="M6" s="41"/>
    </row>
    <row r="7" spans="1:13" x14ac:dyDescent="0.2">
      <c r="A7" s="57"/>
      <c r="B7" s="57"/>
      <c r="C7" s="57"/>
      <c r="E7" s="57"/>
      <c r="G7" s="57"/>
      <c r="H7" s="41"/>
      <c r="I7" s="57"/>
      <c r="J7" s="41"/>
      <c r="K7" s="57"/>
      <c r="L7" s="57"/>
      <c r="M7" s="41"/>
    </row>
    <row r="8" spans="1:13" x14ac:dyDescent="0.2">
      <c r="A8" s="66">
        <f>A5*A6</f>
        <v>6066000</v>
      </c>
      <c r="B8" s="57">
        <f>A5*B5</f>
        <v>700000</v>
      </c>
      <c r="C8" s="57">
        <f>A5*C5</f>
        <v>600000</v>
      </c>
      <c r="D8">
        <f>A5*D5</f>
        <v>400000</v>
      </c>
      <c r="E8" s="57">
        <f>A5*E5</f>
        <v>300000</v>
      </c>
      <c r="F8">
        <f>A5*F5</f>
        <v>2000000</v>
      </c>
      <c r="G8" s="57">
        <f>A5*G5</f>
        <v>800000</v>
      </c>
      <c r="H8" s="41">
        <f>A5*H5</f>
        <v>400000</v>
      </c>
      <c r="I8" s="57">
        <f>A5*I5</f>
        <v>300000</v>
      </c>
      <c r="J8" s="41">
        <f>A5*J5</f>
        <v>150000</v>
      </c>
      <c r="K8" s="57">
        <f>A5*K5</f>
        <v>150000</v>
      </c>
      <c r="L8" s="57">
        <f>A5*L5</f>
        <v>600000</v>
      </c>
      <c r="M8" s="41"/>
    </row>
    <row r="9" spans="1:13" x14ac:dyDescent="0.2">
      <c r="A9" s="73" t="s">
        <v>64</v>
      </c>
      <c r="B9" s="57">
        <v>7.33</v>
      </c>
      <c r="C9" s="57">
        <v>8.5299999999999994</v>
      </c>
      <c r="D9">
        <v>9.7200000000000006</v>
      </c>
      <c r="E9" s="57">
        <v>10.09</v>
      </c>
      <c r="F9">
        <f>SUM(B9+C9+D9+E9)/4</f>
        <v>8.9175000000000004</v>
      </c>
      <c r="G9" s="57">
        <v>8.76</v>
      </c>
      <c r="H9" s="63">
        <v>10.63</v>
      </c>
      <c r="I9" s="57">
        <v>6.3</v>
      </c>
      <c r="J9" s="63">
        <v>9.36</v>
      </c>
      <c r="K9" s="59">
        <v>1.8140000000000001</v>
      </c>
      <c r="L9" s="57">
        <v>6.29</v>
      </c>
      <c r="M9" s="41"/>
    </row>
    <row r="10" spans="1:13" x14ac:dyDescent="0.2">
      <c r="A10" s="74" t="s">
        <v>65</v>
      </c>
      <c r="B10" s="57"/>
      <c r="C10" s="57"/>
      <c r="E10" s="57"/>
      <c r="G10" s="57"/>
      <c r="H10" s="41"/>
      <c r="I10" s="57"/>
      <c r="J10" s="41"/>
      <c r="K10" s="57"/>
      <c r="L10" s="57"/>
      <c r="M10" s="41"/>
    </row>
    <row r="11" spans="1:13" x14ac:dyDescent="0.2">
      <c r="A11" s="55">
        <f>A8*2.83</f>
        <v>17166780</v>
      </c>
      <c r="B11" s="58">
        <f t="shared" ref="B11:L11" si="0">B8*B9</f>
        <v>5131000</v>
      </c>
      <c r="C11" s="58">
        <f t="shared" si="0"/>
        <v>5118000</v>
      </c>
      <c r="D11" s="60">
        <f t="shared" si="0"/>
        <v>3888000.0000000005</v>
      </c>
      <c r="E11" s="58">
        <f t="shared" si="0"/>
        <v>3027000</v>
      </c>
      <c r="F11" s="60">
        <f t="shared" si="0"/>
        <v>17835000</v>
      </c>
      <c r="G11" s="58">
        <f t="shared" si="0"/>
        <v>7008000</v>
      </c>
      <c r="H11" s="58">
        <f t="shared" si="0"/>
        <v>4252000</v>
      </c>
      <c r="I11" s="58">
        <f t="shared" si="0"/>
        <v>1890000</v>
      </c>
      <c r="J11" s="61">
        <f t="shared" si="0"/>
        <v>1404000</v>
      </c>
      <c r="K11" s="58">
        <f t="shared" si="0"/>
        <v>272100</v>
      </c>
      <c r="L11" s="58">
        <f t="shared" si="0"/>
        <v>3774000</v>
      </c>
      <c r="M11" s="41"/>
    </row>
    <row r="12" spans="1:13" x14ac:dyDescent="0.2">
      <c r="A12" s="67" t="s">
        <v>63</v>
      </c>
      <c r="F12" s="277" t="s">
        <v>69</v>
      </c>
      <c r="G12" s="277"/>
      <c r="H12" s="277"/>
      <c r="I12" s="280">
        <f>B11+C11+D11+E11+G11+H11+I11+J11+K11+L11</f>
        <v>35764100</v>
      </c>
      <c r="J12" s="280"/>
      <c r="K12" s="280"/>
      <c r="L12" s="280"/>
      <c r="M12" s="41"/>
    </row>
    <row r="13" spans="1:13" x14ac:dyDescent="0.2">
      <c r="A13" s="67"/>
      <c r="F13" s="250"/>
      <c r="G13" s="250"/>
      <c r="H13" s="250"/>
      <c r="I13" s="56"/>
      <c r="J13" s="56"/>
      <c r="K13" s="56"/>
      <c r="L13" s="56"/>
      <c r="M13" s="41"/>
    </row>
    <row r="14" spans="1:13" x14ac:dyDescent="0.2">
      <c r="A14" s="51" t="s">
        <v>61</v>
      </c>
      <c r="B14" s="266" t="s">
        <v>54</v>
      </c>
      <c r="C14" s="267"/>
      <c r="D14" s="267"/>
      <c r="E14" s="267"/>
      <c r="F14" s="267"/>
      <c r="G14" s="283" t="s">
        <v>60</v>
      </c>
      <c r="H14" s="281"/>
      <c r="I14" s="281"/>
      <c r="J14" s="281"/>
      <c r="K14" s="281"/>
      <c r="L14" s="282"/>
      <c r="M14" s="41"/>
    </row>
    <row r="15" spans="1:13" x14ac:dyDescent="0.2">
      <c r="A15" s="134" t="s">
        <v>108</v>
      </c>
      <c r="B15" s="282">
        <v>84</v>
      </c>
      <c r="C15" s="267">
        <v>90</v>
      </c>
      <c r="D15" s="267">
        <v>95</v>
      </c>
      <c r="E15" s="267">
        <v>97</v>
      </c>
      <c r="F15" s="266" t="s">
        <v>53</v>
      </c>
      <c r="G15" s="68" t="s">
        <v>66</v>
      </c>
      <c r="H15" s="68" t="s">
        <v>68</v>
      </c>
      <c r="I15" s="266" t="s">
        <v>59</v>
      </c>
      <c r="J15" s="266" t="s">
        <v>55</v>
      </c>
      <c r="K15" s="266" t="s">
        <v>56</v>
      </c>
      <c r="L15" s="266" t="s">
        <v>58</v>
      </c>
      <c r="M15" s="71"/>
    </row>
    <row r="16" spans="1:13" x14ac:dyDescent="0.2">
      <c r="A16" s="129" t="s">
        <v>109</v>
      </c>
      <c r="B16" s="282"/>
      <c r="C16" s="267"/>
      <c r="D16" s="267"/>
      <c r="E16" s="267"/>
      <c r="F16" s="266"/>
      <c r="G16" s="70" t="s">
        <v>57</v>
      </c>
      <c r="H16" s="70" t="s">
        <v>67</v>
      </c>
      <c r="I16" s="266"/>
      <c r="J16" s="266"/>
      <c r="K16" s="266"/>
      <c r="L16" s="266"/>
      <c r="M16" s="40"/>
    </row>
    <row r="17" spans="1:13" x14ac:dyDescent="0.2">
      <c r="A17" s="64" t="s">
        <v>62</v>
      </c>
      <c r="B17" s="62"/>
      <c r="C17" s="45"/>
      <c r="D17" s="62"/>
      <c r="E17" s="45"/>
      <c r="F17" s="62"/>
      <c r="G17" s="45"/>
      <c r="H17" s="62"/>
      <c r="I17" s="45"/>
      <c r="J17" s="62"/>
      <c r="K17" s="45"/>
      <c r="L17" s="45"/>
      <c r="M17" s="40"/>
    </row>
    <row r="18" spans="1:13" x14ac:dyDescent="0.2">
      <c r="A18" s="65">
        <v>1000000</v>
      </c>
      <c r="B18" s="41">
        <v>7</v>
      </c>
      <c r="C18" s="57">
        <v>6</v>
      </c>
      <c r="D18" s="41">
        <v>4</v>
      </c>
      <c r="E18" s="57">
        <v>3</v>
      </c>
      <c r="F18" s="56">
        <v>20</v>
      </c>
      <c r="G18" s="57">
        <v>8</v>
      </c>
      <c r="H18" s="41">
        <v>4</v>
      </c>
      <c r="I18" s="57">
        <v>3</v>
      </c>
      <c r="J18" s="41">
        <v>1.5</v>
      </c>
      <c r="K18" s="57">
        <v>1.5</v>
      </c>
      <c r="L18" s="57">
        <v>6</v>
      </c>
      <c r="M18" s="41"/>
    </row>
    <row r="19" spans="1:13" x14ac:dyDescent="0.2">
      <c r="A19" s="57">
        <v>60.66</v>
      </c>
      <c r="B19" s="41"/>
      <c r="C19" s="57"/>
      <c r="D19" s="41"/>
      <c r="E19" s="57"/>
      <c r="F19" s="41"/>
      <c r="G19" s="57"/>
      <c r="H19" s="41"/>
      <c r="I19" s="57"/>
      <c r="J19" s="41"/>
      <c r="K19" s="57"/>
      <c r="L19" s="57"/>
      <c r="M19" s="41"/>
    </row>
    <row r="20" spans="1:13" x14ac:dyDescent="0.2">
      <c r="A20" s="57"/>
      <c r="B20" s="41"/>
      <c r="C20" s="57"/>
      <c r="D20" s="41"/>
      <c r="E20" s="57"/>
      <c r="F20" s="41"/>
      <c r="G20" s="57"/>
      <c r="H20" s="41"/>
      <c r="I20" s="57"/>
      <c r="J20" s="41"/>
      <c r="K20" s="57"/>
      <c r="L20" s="57"/>
      <c r="M20" s="41"/>
    </row>
    <row r="21" spans="1:13" x14ac:dyDescent="0.2">
      <c r="A21" s="66">
        <f>A18*A19</f>
        <v>60660000</v>
      </c>
      <c r="B21" s="41">
        <f>A18*B18</f>
        <v>7000000</v>
      </c>
      <c r="C21" s="57">
        <f>A18*C18</f>
        <v>6000000</v>
      </c>
      <c r="D21" s="41">
        <f>A18*D18</f>
        <v>4000000</v>
      </c>
      <c r="E21" s="57">
        <f>A18*E18</f>
        <v>3000000</v>
      </c>
      <c r="F21" s="41">
        <f>A18*F18</f>
        <v>20000000</v>
      </c>
      <c r="G21" s="57">
        <f>A18*G18</f>
        <v>8000000</v>
      </c>
      <c r="H21" s="41">
        <f>A18*H18</f>
        <v>4000000</v>
      </c>
      <c r="I21" s="57">
        <f>A18*I18</f>
        <v>3000000</v>
      </c>
      <c r="J21" s="41">
        <f>A18*J18</f>
        <v>1500000</v>
      </c>
      <c r="K21" s="57">
        <f>A18*K18</f>
        <v>1500000</v>
      </c>
      <c r="L21" s="57">
        <f>A18*L18</f>
        <v>6000000</v>
      </c>
      <c r="M21" s="41"/>
    </row>
    <row r="22" spans="1:13" x14ac:dyDescent="0.2">
      <c r="A22" s="73" t="s">
        <v>64</v>
      </c>
      <c r="B22" s="41">
        <v>7.33</v>
      </c>
      <c r="C22" s="57">
        <v>8.5299999999999994</v>
      </c>
      <c r="D22" s="41">
        <v>9.7200000000000006</v>
      </c>
      <c r="E22" s="57">
        <v>10.09</v>
      </c>
      <c r="F22" s="41">
        <f>SUM(B22+C22+D22+E22)/4</f>
        <v>8.9175000000000004</v>
      </c>
      <c r="G22" s="57">
        <v>8.76</v>
      </c>
      <c r="H22" s="63">
        <v>10.63</v>
      </c>
      <c r="I22" s="57">
        <v>6.3</v>
      </c>
      <c r="J22" s="63">
        <v>9.36</v>
      </c>
      <c r="K22" s="59">
        <v>1.8140000000000001</v>
      </c>
      <c r="L22" s="57">
        <v>6.29</v>
      </c>
      <c r="M22" s="41"/>
    </row>
    <row r="23" spans="1:13" x14ac:dyDescent="0.2">
      <c r="A23" s="74" t="s">
        <v>65</v>
      </c>
      <c r="B23" s="41"/>
      <c r="C23" s="57"/>
      <c r="D23" s="41"/>
      <c r="E23" s="57"/>
      <c r="F23" s="41"/>
      <c r="G23" s="57"/>
      <c r="H23" s="41"/>
      <c r="I23" s="57"/>
      <c r="J23" s="41"/>
      <c r="K23" s="57"/>
      <c r="L23" s="57"/>
      <c r="M23" s="41"/>
    </row>
    <row r="24" spans="1:13" x14ac:dyDescent="0.2">
      <c r="A24" s="55">
        <f>A21*2.83</f>
        <v>171667800</v>
      </c>
      <c r="B24" s="60">
        <f t="shared" ref="B24:L24" si="1">B21*B22</f>
        <v>51310000</v>
      </c>
      <c r="C24" s="58">
        <f t="shared" si="1"/>
        <v>51179999.999999993</v>
      </c>
      <c r="D24" s="60">
        <f t="shared" si="1"/>
        <v>38880000</v>
      </c>
      <c r="E24" s="58">
        <f t="shared" si="1"/>
        <v>30270000</v>
      </c>
      <c r="F24" s="60">
        <f t="shared" si="1"/>
        <v>178350000</v>
      </c>
      <c r="G24" s="58">
        <f t="shared" si="1"/>
        <v>70080000</v>
      </c>
      <c r="H24" s="58">
        <f t="shared" si="1"/>
        <v>42520000</v>
      </c>
      <c r="I24" s="58">
        <f t="shared" si="1"/>
        <v>18900000</v>
      </c>
      <c r="J24" s="60">
        <f t="shared" si="1"/>
        <v>14040000</v>
      </c>
      <c r="K24" s="58">
        <f t="shared" si="1"/>
        <v>2721000</v>
      </c>
      <c r="L24" s="58">
        <f t="shared" si="1"/>
        <v>37740000</v>
      </c>
      <c r="M24" s="41"/>
    </row>
    <row r="25" spans="1:13" x14ac:dyDescent="0.2">
      <c r="A25" s="67" t="s">
        <v>63</v>
      </c>
      <c r="F25" s="277" t="s">
        <v>69</v>
      </c>
      <c r="G25" s="277"/>
      <c r="H25" s="277"/>
      <c r="I25" s="280">
        <f>B24+C24+D24+E24+G24+H24+I24+J24+K24+L24</f>
        <v>357641000</v>
      </c>
      <c r="J25" s="280"/>
      <c r="K25" s="280"/>
      <c r="L25" s="280"/>
      <c r="M25" s="41"/>
    </row>
    <row r="26" spans="1:13" x14ac:dyDescent="0.2">
      <c r="A26" s="67"/>
      <c r="F26" s="250"/>
      <c r="G26" s="250"/>
      <c r="H26" s="250"/>
      <c r="I26" s="56"/>
      <c r="J26" s="56"/>
      <c r="K26" s="56"/>
      <c r="L26" s="56"/>
    </row>
    <row r="27" spans="1:13" x14ac:dyDescent="0.2">
      <c r="A27" s="290" t="s">
        <v>162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</row>
    <row r="28" spans="1:13" x14ac:dyDescent="0.2">
      <c r="A28" s="254" t="s">
        <v>155</v>
      </c>
      <c r="B28" s="253">
        <f>'ACC OK'!E42</f>
        <v>294339662.16363633</v>
      </c>
      <c r="D28" s="286" t="s">
        <v>160</v>
      </c>
      <c r="E28" s="287"/>
      <c r="F28" s="287"/>
      <c r="G28" s="256">
        <f>SUM(B31+C31+D31+E31+G31+H31+I31+J31+K31+L31)</f>
        <v>294339662.16363627</v>
      </c>
      <c r="I28" s="288" t="s">
        <v>161</v>
      </c>
      <c r="J28" s="289"/>
      <c r="K28" s="289"/>
      <c r="L28" s="256">
        <f>SUM(B31+C31+D31+E31+G31+H31+I31+J31+K31+L31)</f>
        <v>294339662.16363627</v>
      </c>
    </row>
    <row r="29" spans="1:13" x14ac:dyDescent="0.2">
      <c r="A29" s="252" t="s">
        <v>158</v>
      </c>
      <c r="C29" s="251">
        <f>SUM(B22+C22+D22+E22+G22+H22+I22+J22+K22+L22)</f>
        <v>78.823999999999998</v>
      </c>
    </row>
    <row r="30" spans="1:13" x14ac:dyDescent="0.2">
      <c r="A30" s="252" t="s">
        <v>159</v>
      </c>
      <c r="B30">
        <f>B22/C29</f>
        <v>9.2991982137420076E-2</v>
      </c>
      <c r="C30">
        <f>C22/C29</f>
        <v>0.10821577184613823</v>
      </c>
      <c r="D30">
        <f>D22/C29</f>
        <v>0.12331269664061709</v>
      </c>
      <c r="E30">
        <f>E22/C29</f>
        <v>0.12800669846747184</v>
      </c>
      <c r="G30">
        <f>G22/C29</f>
        <v>0.11113366487364254</v>
      </c>
      <c r="H30">
        <f>H22/C29</f>
        <v>0.13485740383639502</v>
      </c>
      <c r="I30">
        <f>I22/C29</f>
        <v>7.9924895970770321E-2</v>
      </c>
      <c r="J30">
        <f>J22/C29</f>
        <v>0.11874555972800162</v>
      </c>
      <c r="K30">
        <f>K22/C29</f>
        <v>2.3013295443012283E-2</v>
      </c>
      <c r="L30">
        <f>L22/C29</f>
        <v>7.9798031056531007E-2</v>
      </c>
    </row>
    <row r="31" spans="1:13" x14ac:dyDescent="0.2">
      <c r="A31" s="254" t="s">
        <v>156</v>
      </c>
      <c r="B31" s="257">
        <f>B30*B28</f>
        <v>27371228.606255129</v>
      </c>
      <c r="C31" s="257">
        <f>C30*B28</f>
        <v>31852193.725969475</v>
      </c>
      <c r="D31" s="257">
        <f>D30*B28</f>
        <v>36295817.469686203</v>
      </c>
      <c r="E31" s="257">
        <f>E30*B28</f>
        <v>37677448.381598122</v>
      </c>
      <c r="G31" s="257">
        <f>G30*B28</f>
        <v>32711045.373914722</v>
      </c>
      <c r="H31" s="257">
        <f>H30*B28</f>
        <v>39693882.685469583</v>
      </c>
      <c r="I31" s="260">
        <f>I30*B28</f>
        <v>23525066.878500316</v>
      </c>
      <c r="J31" s="261">
        <f>J30*B28</f>
        <v>34951527.933771893</v>
      </c>
      <c r="K31" s="260">
        <f>K30*B28</f>
        <v>6773725.6059681866</v>
      </c>
      <c r="L31" s="260">
        <f>L30*B28</f>
        <v>23487725.502502695</v>
      </c>
    </row>
    <row r="32" spans="1:13" x14ac:dyDescent="0.2">
      <c r="A32" s="255" t="s">
        <v>157</v>
      </c>
      <c r="C32">
        <f>SUM(B18+C18+D18+E18+G18+H18+I18+J18+K18+L18)</f>
        <v>44</v>
      </c>
    </row>
    <row r="33" spans="1:12" x14ac:dyDescent="0.2">
      <c r="A33" s="252" t="s">
        <v>159</v>
      </c>
      <c r="B33">
        <f>B18/C32</f>
        <v>0.15909090909090909</v>
      </c>
      <c r="C33">
        <f>C18/C32</f>
        <v>0.13636363636363635</v>
      </c>
      <c r="D33">
        <f>D18/C32</f>
        <v>9.0909090909090912E-2</v>
      </c>
      <c r="E33">
        <f>E18/C32</f>
        <v>6.8181818181818177E-2</v>
      </c>
      <c r="G33">
        <f>G18/C32</f>
        <v>0.18181818181818182</v>
      </c>
      <c r="H33">
        <f>H18/C32</f>
        <v>9.0909090909090912E-2</v>
      </c>
      <c r="I33">
        <f>I18/C32</f>
        <v>6.8181818181818177E-2</v>
      </c>
      <c r="J33">
        <f>J18/C32</f>
        <v>3.4090909090909088E-2</v>
      </c>
      <c r="K33">
        <f>K18/C32</f>
        <v>3.4090909090909088E-2</v>
      </c>
      <c r="L33">
        <f>L18/C32</f>
        <v>0.13636363636363635</v>
      </c>
    </row>
    <row r="34" spans="1:12" x14ac:dyDescent="0.2">
      <c r="A34" s="254" t="s">
        <v>156</v>
      </c>
      <c r="B34" s="258">
        <f>B33*B28</f>
        <v>46826764.435123958</v>
      </c>
      <c r="C34" s="257">
        <f>C33*B28</f>
        <v>40137226.658677675</v>
      </c>
      <c r="D34" s="257">
        <f>D33*B28</f>
        <v>26758151.10578512</v>
      </c>
      <c r="E34" s="257">
        <f>E33*B28</f>
        <v>20068613.329338837</v>
      </c>
      <c r="G34" s="257">
        <f>G33*B28</f>
        <v>53516302.211570241</v>
      </c>
      <c r="H34" s="259">
        <f>H33*B28</f>
        <v>26758151.10578512</v>
      </c>
      <c r="I34" s="259">
        <f>I33*B28</f>
        <v>20068613.329338837</v>
      </c>
      <c r="J34" s="259">
        <f>J33*B28</f>
        <v>10034306.664669419</v>
      </c>
      <c r="K34" s="259">
        <f>K33*B28</f>
        <v>10034306.664669419</v>
      </c>
      <c r="L34" s="259">
        <f>L33*B28</f>
        <v>40137226.658677675</v>
      </c>
    </row>
    <row r="35" spans="1:12" x14ac:dyDescent="0.2">
      <c r="A35" s="291" t="s">
        <v>163</v>
      </c>
      <c r="B35" s="291"/>
      <c r="C35" s="291"/>
      <c r="D35" s="291"/>
    </row>
    <row r="36" spans="1:12" x14ac:dyDescent="0.2">
      <c r="B36" s="138" t="s">
        <v>111</v>
      </c>
      <c r="C36" s="138" t="s">
        <v>112</v>
      </c>
    </row>
    <row r="37" spans="1:12" x14ac:dyDescent="0.2">
      <c r="A37" s="12" t="s">
        <v>110</v>
      </c>
      <c r="B37" s="139" t="s">
        <v>113</v>
      </c>
      <c r="C37" s="139" t="s">
        <v>114</v>
      </c>
    </row>
  </sheetData>
  <mergeCells count="30">
    <mergeCell ref="D28:F28"/>
    <mergeCell ref="I28:K28"/>
    <mergeCell ref="F25:H25"/>
    <mergeCell ref="A27:L27"/>
    <mergeCell ref="A35:D35"/>
    <mergeCell ref="I25:L25"/>
    <mergeCell ref="G1:L1"/>
    <mergeCell ref="B14:F14"/>
    <mergeCell ref="G14:L14"/>
    <mergeCell ref="B15:B16"/>
    <mergeCell ref="C15:C16"/>
    <mergeCell ref="D15:D16"/>
    <mergeCell ref="E15:E16"/>
    <mergeCell ref="F15:F16"/>
    <mergeCell ref="I12:L12"/>
    <mergeCell ref="I15:I16"/>
    <mergeCell ref="B1:F1"/>
    <mergeCell ref="B2:B3"/>
    <mergeCell ref="C2:C3"/>
    <mergeCell ref="D2:D3"/>
    <mergeCell ref="E2:E3"/>
    <mergeCell ref="F2:F3"/>
    <mergeCell ref="J15:J16"/>
    <mergeCell ref="K15:K16"/>
    <mergeCell ref="L15:L16"/>
    <mergeCell ref="F12:H12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orientation="landscape" horizontalDpi="120" verticalDpi="14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43"/>
  <sheetViews>
    <sheetView view="pageLayout" topLeftCell="C1" zoomScale="80" zoomScalePageLayoutView="80" workbookViewId="0">
      <pane xSplit="13650" topLeftCell="AC1"/>
      <selection activeCell="D42" sqref="D42:N42"/>
      <selection pane="topRight" activeCell="J5" sqref="J5"/>
    </sheetView>
  </sheetViews>
  <sheetFormatPr baseColWidth="10" defaultRowHeight="12.75" x14ac:dyDescent="0.2"/>
  <cols>
    <col min="1" max="1" width="4.7109375" customWidth="1"/>
    <col min="2" max="2" width="4.5703125" customWidth="1"/>
    <col min="3" max="3" width="19.140625" customWidth="1"/>
    <col min="4" max="4" width="13.7109375" bestFit="1" customWidth="1"/>
    <col min="5" max="5" width="12.7109375" customWidth="1"/>
    <col min="6" max="6" width="11" customWidth="1"/>
    <col min="7" max="7" width="12.85546875" bestFit="1" customWidth="1"/>
    <col min="8" max="9" width="12.140625" bestFit="1" customWidth="1"/>
    <col min="10" max="10" width="11.7109375" bestFit="1" customWidth="1"/>
    <col min="11" max="11" width="12.140625" bestFit="1" customWidth="1"/>
    <col min="12" max="12" width="11.7109375" bestFit="1" customWidth="1"/>
    <col min="13" max="14" width="12.28515625" bestFit="1" customWidth="1"/>
    <col min="27" max="27" width="17" customWidth="1"/>
  </cols>
  <sheetData>
    <row r="1" spans="1:14" ht="15.75" x14ac:dyDescent="0.25">
      <c r="A1" s="262" t="s">
        <v>83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x14ac:dyDescent="0.2">
      <c r="A2" s="265" t="s">
        <v>168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x14ac:dyDescent="0.2">
      <c r="A3" s="293" t="s">
        <v>92</v>
      </c>
      <c r="B3" s="296" t="s">
        <v>101</v>
      </c>
      <c r="C3" s="6" t="s">
        <v>50</v>
      </c>
      <c r="D3" s="106" t="s">
        <v>22</v>
      </c>
      <c r="E3" s="4" t="s">
        <v>23</v>
      </c>
      <c r="F3" s="4" t="s">
        <v>24</v>
      </c>
      <c r="G3" s="268" t="s">
        <v>79</v>
      </c>
      <c r="H3" s="269"/>
      <c r="I3" s="270"/>
      <c r="J3" s="271" t="s">
        <v>70</v>
      </c>
      <c r="K3" s="272"/>
      <c r="L3" s="272"/>
      <c r="M3" s="272"/>
      <c r="N3" s="273"/>
    </row>
    <row r="4" spans="1:14" x14ac:dyDescent="0.2">
      <c r="A4" s="294"/>
      <c r="B4" s="297"/>
      <c r="C4" s="52" t="s">
        <v>49</v>
      </c>
      <c r="D4" s="107" t="s">
        <v>25</v>
      </c>
      <c r="E4" s="5" t="s">
        <v>26</v>
      </c>
      <c r="F4" s="77" t="s">
        <v>27</v>
      </c>
      <c r="G4" s="115" t="s">
        <v>40</v>
      </c>
      <c r="H4" s="115" t="s">
        <v>41</v>
      </c>
      <c r="I4" s="116" t="s">
        <v>40</v>
      </c>
      <c r="J4" s="117" t="s">
        <v>71</v>
      </c>
      <c r="K4" s="123" t="s">
        <v>72</v>
      </c>
      <c r="L4" s="80" t="s">
        <v>94</v>
      </c>
      <c r="M4" s="115" t="s">
        <v>74</v>
      </c>
      <c r="N4" s="81" t="s">
        <v>89</v>
      </c>
    </row>
    <row r="5" spans="1:14" x14ac:dyDescent="0.2">
      <c r="A5" s="295"/>
      <c r="B5" s="298"/>
      <c r="C5" s="9" t="s">
        <v>51</v>
      </c>
      <c r="D5" s="108" t="s">
        <v>28</v>
      </c>
      <c r="E5" s="7" t="s">
        <v>29</v>
      </c>
      <c r="F5" s="8"/>
      <c r="G5" s="122" t="s">
        <v>39</v>
      </c>
      <c r="H5" s="122" t="s">
        <v>42</v>
      </c>
      <c r="I5" s="79" t="s">
        <v>43</v>
      </c>
      <c r="J5" s="120" t="s">
        <v>44</v>
      </c>
      <c r="K5" s="118" t="s">
        <v>38</v>
      </c>
      <c r="L5" s="119" t="s">
        <v>93</v>
      </c>
      <c r="M5" s="121" t="s">
        <v>75</v>
      </c>
      <c r="N5" s="81" t="s">
        <v>76</v>
      </c>
    </row>
    <row r="6" spans="1:14" x14ac:dyDescent="0.2">
      <c r="A6" s="44">
        <v>1</v>
      </c>
      <c r="B6" s="126">
        <v>6122</v>
      </c>
      <c r="C6" s="104" t="s">
        <v>46</v>
      </c>
      <c r="D6" s="89">
        <v>171667800</v>
      </c>
      <c r="E6" s="86">
        <v>171667800</v>
      </c>
      <c r="F6" s="94"/>
      <c r="G6" s="94">
        <f>D6</f>
        <v>171667800</v>
      </c>
      <c r="H6" s="94"/>
      <c r="I6" s="96"/>
      <c r="J6" s="94"/>
      <c r="K6" s="96"/>
      <c r="L6" s="96"/>
      <c r="M6" s="91"/>
      <c r="N6" s="91"/>
    </row>
    <row r="7" spans="1:14" x14ac:dyDescent="0.2">
      <c r="A7" s="44">
        <v>2</v>
      </c>
      <c r="B7" s="126">
        <v>613</v>
      </c>
      <c r="C7" s="104" t="s">
        <v>116</v>
      </c>
      <c r="D7" s="90"/>
      <c r="E7" s="86"/>
      <c r="F7" s="86"/>
      <c r="G7" s="86"/>
      <c r="H7" s="86"/>
      <c r="I7" s="97"/>
      <c r="J7" s="86"/>
      <c r="K7" s="97"/>
      <c r="L7" s="97"/>
      <c r="M7" s="91"/>
      <c r="N7" s="91"/>
    </row>
    <row r="8" spans="1:14" x14ac:dyDescent="0.2">
      <c r="A8" s="44"/>
      <c r="B8" s="126">
        <v>6132</v>
      </c>
      <c r="C8" s="104" t="s">
        <v>81</v>
      </c>
      <c r="D8" s="90">
        <v>580000</v>
      </c>
      <c r="E8" s="86"/>
      <c r="F8" s="86"/>
      <c r="G8" s="86"/>
      <c r="H8" s="86"/>
      <c r="I8" s="97"/>
      <c r="J8" s="86"/>
      <c r="K8" s="97">
        <v>580000</v>
      </c>
      <c r="L8" s="97"/>
      <c r="M8" s="91"/>
      <c r="N8" s="91"/>
    </row>
    <row r="9" spans="1:14" x14ac:dyDescent="0.2">
      <c r="A9" s="44"/>
      <c r="B9" s="126">
        <v>6132</v>
      </c>
      <c r="C9" s="104" t="s">
        <v>88</v>
      </c>
      <c r="D9" s="90">
        <v>88000</v>
      </c>
      <c r="E9" s="86"/>
      <c r="F9" s="86"/>
      <c r="G9" s="86"/>
      <c r="H9" s="86"/>
      <c r="I9" s="97"/>
      <c r="J9" s="86"/>
      <c r="K9" s="97">
        <v>88000</v>
      </c>
      <c r="L9" s="97"/>
      <c r="M9" s="91"/>
      <c r="N9" s="91"/>
    </row>
    <row r="10" spans="1:14" x14ac:dyDescent="0.2">
      <c r="A10" s="44"/>
      <c r="B10" s="126">
        <v>6132</v>
      </c>
      <c r="C10" s="104" t="s">
        <v>90</v>
      </c>
      <c r="D10" s="90">
        <v>58000</v>
      </c>
      <c r="E10" s="86"/>
      <c r="F10" s="86"/>
      <c r="G10" s="86"/>
      <c r="H10" s="86"/>
      <c r="I10" s="97"/>
      <c r="J10" s="86"/>
      <c r="K10" s="97"/>
      <c r="L10" s="97"/>
      <c r="M10" s="91"/>
      <c r="N10" s="97">
        <v>58000</v>
      </c>
    </row>
    <row r="11" spans="1:14" x14ac:dyDescent="0.2">
      <c r="A11" s="44"/>
      <c r="B11" s="126">
        <v>6132</v>
      </c>
      <c r="C11" s="104" t="s">
        <v>85</v>
      </c>
      <c r="D11" s="90">
        <v>64000</v>
      </c>
      <c r="E11" s="86"/>
      <c r="F11" s="86"/>
      <c r="G11" s="86"/>
      <c r="H11" s="86"/>
      <c r="I11" s="97"/>
      <c r="J11" s="86"/>
      <c r="K11" s="97"/>
      <c r="L11" s="97"/>
      <c r="M11" s="91"/>
      <c r="N11" s="97">
        <v>64000</v>
      </c>
    </row>
    <row r="12" spans="1:14" x14ac:dyDescent="0.2">
      <c r="A12" s="44"/>
      <c r="B12" s="126">
        <v>6132</v>
      </c>
      <c r="C12" s="104" t="s">
        <v>86</v>
      </c>
      <c r="D12" s="90">
        <v>160000</v>
      </c>
      <c r="E12" s="86"/>
      <c r="F12" s="86"/>
      <c r="G12" s="86"/>
      <c r="H12" s="86"/>
      <c r="I12" s="97"/>
      <c r="J12" s="86"/>
      <c r="K12" s="97"/>
      <c r="L12" s="97"/>
      <c r="M12" s="91"/>
      <c r="N12" s="97">
        <v>160000</v>
      </c>
    </row>
    <row r="13" spans="1:14" x14ac:dyDescent="0.2">
      <c r="A13" s="44"/>
      <c r="B13" s="126">
        <v>6132</v>
      </c>
      <c r="C13" s="104" t="s">
        <v>87</v>
      </c>
      <c r="D13" s="90">
        <v>200000</v>
      </c>
      <c r="E13" s="86"/>
      <c r="F13" s="86"/>
      <c r="G13" s="86"/>
      <c r="H13" s="86"/>
      <c r="I13" s="97"/>
      <c r="J13" s="86"/>
      <c r="K13" s="97"/>
      <c r="L13" s="97"/>
      <c r="M13" s="97">
        <v>200000</v>
      </c>
      <c r="N13" s="91"/>
    </row>
    <row r="14" spans="1:14" x14ac:dyDescent="0.2">
      <c r="A14" s="44"/>
      <c r="B14" s="126">
        <v>6132</v>
      </c>
      <c r="C14" s="104" t="s">
        <v>107</v>
      </c>
      <c r="D14" s="90">
        <v>180000</v>
      </c>
      <c r="E14" s="86"/>
      <c r="F14" s="86"/>
      <c r="G14" s="86"/>
      <c r="H14" s="86"/>
      <c r="I14" s="97"/>
      <c r="J14" s="86"/>
      <c r="K14" s="97"/>
      <c r="L14" s="97"/>
      <c r="M14" s="97">
        <v>180000</v>
      </c>
      <c r="N14" s="91"/>
    </row>
    <row r="15" spans="1:14" x14ac:dyDescent="0.2">
      <c r="A15" s="44"/>
      <c r="B15" s="126">
        <v>6132</v>
      </c>
      <c r="C15" s="104" t="s">
        <v>91</v>
      </c>
      <c r="D15" s="90">
        <v>77000</v>
      </c>
      <c r="E15" s="86"/>
      <c r="F15" s="86"/>
      <c r="G15" s="86"/>
      <c r="H15" s="86"/>
      <c r="I15" s="97"/>
      <c r="J15" s="86"/>
      <c r="K15" s="97"/>
      <c r="L15" s="97">
        <v>77000</v>
      </c>
      <c r="M15" s="91"/>
      <c r="N15" s="91"/>
    </row>
    <row r="16" spans="1:14" x14ac:dyDescent="0.2">
      <c r="A16" s="44"/>
      <c r="B16" s="126">
        <v>6132</v>
      </c>
      <c r="C16" s="104" t="s">
        <v>52</v>
      </c>
      <c r="D16" s="90">
        <v>375000</v>
      </c>
      <c r="E16" s="86"/>
      <c r="F16" s="86">
        <f>D16</f>
        <v>375000</v>
      </c>
      <c r="G16" s="86"/>
      <c r="H16" s="97"/>
      <c r="I16" s="97"/>
      <c r="J16" s="86"/>
      <c r="K16" s="97"/>
      <c r="L16" s="97"/>
      <c r="M16" s="91"/>
      <c r="N16" s="91"/>
    </row>
    <row r="17" spans="1:14" x14ac:dyDescent="0.2">
      <c r="A17" s="44">
        <v>3</v>
      </c>
      <c r="B17" s="125">
        <v>6211</v>
      </c>
      <c r="C17" s="104" t="s">
        <v>30</v>
      </c>
      <c r="D17" s="90">
        <f>SUM(F17:N17)</f>
        <v>524000</v>
      </c>
      <c r="E17" s="86">
        <f>SUM(G17:I17)</f>
        <v>83000</v>
      </c>
      <c r="F17" s="86">
        <v>330000</v>
      </c>
      <c r="G17" s="86">
        <v>22000</v>
      </c>
      <c r="H17" s="86">
        <v>25000</v>
      </c>
      <c r="I17" s="97">
        <v>36000</v>
      </c>
      <c r="J17" s="86">
        <v>11000</v>
      </c>
      <c r="K17" s="97">
        <v>27000</v>
      </c>
      <c r="L17" s="97">
        <v>24000</v>
      </c>
      <c r="M17" s="97">
        <v>23000</v>
      </c>
      <c r="N17" s="97">
        <v>26000</v>
      </c>
    </row>
    <row r="18" spans="1:14" x14ac:dyDescent="0.2">
      <c r="A18" s="44">
        <v>4</v>
      </c>
      <c r="B18" s="125">
        <v>6211</v>
      </c>
      <c r="C18" s="104" t="s">
        <v>0</v>
      </c>
      <c r="D18" s="90">
        <f>SUM(G18:N18)</f>
        <v>3574300</v>
      </c>
      <c r="E18" s="86">
        <f>SUM(G18:I18)</f>
        <v>3000000</v>
      </c>
      <c r="F18" s="86"/>
      <c r="G18" s="86">
        <v>1000000</v>
      </c>
      <c r="H18" s="86">
        <v>900000</v>
      </c>
      <c r="I18" s="97">
        <v>1100000</v>
      </c>
      <c r="J18" s="86">
        <v>113200</v>
      </c>
      <c r="K18" s="97">
        <v>117600</v>
      </c>
      <c r="L18" s="97">
        <v>114600</v>
      </c>
      <c r="M18" s="97">
        <v>113200</v>
      </c>
      <c r="N18" s="97">
        <v>115700</v>
      </c>
    </row>
    <row r="19" spans="1:14" x14ac:dyDescent="0.2">
      <c r="A19" s="44">
        <v>5</v>
      </c>
      <c r="B19" s="125">
        <v>6215</v>
      </c>
      <c r="C19" s="104" t="s">
        <v>1</v>
      </c>
      <c r="D19" s="90">
        <f>SUM(F19:N19)</f>
        <v>372572.72727272729</v>
      </c>
      <c r="E19" s="90">
        <f t="shared" ref="E19:N19" si="0">(E17+E18)/11</f>
        <v>280272.72727272729</v>
      </c>
      <c r="F19" s="90">
        <f t="shared" si="0"/>
        <v>30000</v>
      </c>
      <c r="G19" s="90">
        <f>(G17+G18)/11</f>
        <v>92909.090909090912</v>
      </c>
      <c r="H19" s="90">
        <f>(H17+H18)/11</f>
        <v>84090.909090909088</v>
      </c>
      <c r="I19" s="90">
        <f>(I17+I18)/11</f>
        <v>103272.72727272728</v>
      </c>
      <c r="J19" s="90">
        <f>(J17+J18)/11</f>
        <v>11290.90909090909</v>
      </c>
      <c r="K19" s="90">
        <f t="shared" si="0"/>
        <v>13145.454545454546</v>
      </c>
      <c r="L19" s="90">
        <f t="shared" si="0"/>
        <v>12600</v>
      </c>
      <c r="M19" s="90">
        <f t="shared" si="0"/>
        <v>12381.818181818182</v>
      </c>
      <c r="N19" s="90">
        <f t="shared" si="0"/>
        <v>12881.818181818182</v>
      </c>
    </row>
    <row r="20" spans="1:14" x14ac:dyDescent="0.2">
      <c r="A20" s="44">
        <v>6</v>
      </c>
      <c r="B20" s="126">
        <v>6271</v>
      </c>
      <c r="C20" s="104" t="s">
        <v>84</v>
      </c>
      <c r="D20" s="90">
        <f>SUM(F20:N20)</f>
        <v>462816.70909090911</v>
      </c>
      <c r="E20" s="86">
        <f>((E17+E17/11)*9/100)+((E18+E18/11)*10.55/100)</f>
        <v>353421.81818181818</v>
      </c>
      <c r="F20" s="86">
        <f>(F17+F19)/100*9</f>
        <v>32400</v>
      </c>
      <c r="G20" s="86">
        <f t="shared" ref="G20:N20" si="1">((G17+G17/11)*9/100)+((G18+G18/11)*10.55/100)</f>
        <v>117250.90909090909</v>
      </c>
      <c r="H20" s="86">
        <f t="shared" si="1"/>
        <v>106036.36363636366</v>
      </c>
      <c r="I20" s="86">
        <f t="shared" si="1"/>
        <v>130134.54545454546</v>
      </c>
      <c r="J20" s="86">
        <f t="shared" si="1"/>
        <v>14108.290909090911</v>
      </c>
      <c r="K20" s="86">
        <f t="shared" si="1"/>
        <v>16185.600000000002</v>
      </c>
      <c r="L20" s="86">
        <f t="shared" si="1"/>
        <v>15545.78181818182</v>
      </c>
      <c r="M20" s="86">
        <f t="shared" si="1"/>
        <v>15286.472727272729</v>
      </c>
      <c r="N20" s="86">
        <f t="shared" si="1"/>
        <v>15868.745454545455</v>
      </c>
    </row>
    <row r="21" spans="1:14" x14ac:dyDescent="0.2">
      <c r="A21" s="44">
        <v>7</v>
      </c>
      <c r="B21" s="126">
        <v>6291</v>
      </c>
      <c r="C21" s="104" t="s">
        <v>2</v>
      </c>
      <c r="D21" s="90">
        <f t="shared" ref="D21:N21" si="2">D19</f>
        <v>372572.72727272729</v>
      </c>
      <c r="E21" s="93">
        <f t="shared" si="2"/>
        <v>280272.72727272729</v>
      </c>
      <c r="F21" s="93">
        <f t="shared" si="2"/>
        <v>30000</v>
      </c>
      <c r="G21" s="93">
        <f t="shared" si="2"/>
        <v>92909.090909090912</v>
      </c>
      <c r="H21" s="93">
        <f t="shared" si="2"/>
        <v>84090.909090909088</v>
      </c>
      <c r="I21" s="93">
        <f t="shared" si="2"/>
        <v>103272.72727272728</v>
      </c>
      <c r="J21" s="93">
        <f t="shared" si="2"/>
        <v>11290.90909090909</v>
      </c>
      <c r="K21" s="93">
        <f t="shared" si="2"/>
        <v>13145.454545454546</v>
      </c>
      <c r="L21" s="93">
        <f t="shared" si="2"/>
        <v>12600</v>
      </c>
      <c r="M21" s="97">
        <f t="shared" si="2"/>
        <v>12381.818181818182</v>
      </c>
      <c r="N21" s="97">
        <f t="shared" si="2"/>
        <v>12881.818181818182</v>
      </c>
    </row>
    <row r="22" spans="1:14" x14ac:dyDescent="0.2">
      <c r="A22" s="44">
        <v>8</v>
      </c>
      <c r="B22" s="126">
        <v>63111</v>
      </c>
      <c r="C22" s="104" t="s">
        <v>95</v>
      </c>
      <c r="D22" s="90">
        <f>SUM(F22:N22)</f>
        <v>250000</v>
      </c>
      <c r="E22" s="86">
        <f>SUM(G22:I22)</f>
        <v>107000</v>
      </c>
      <c r="F22" s="86">
        <v>14000</v>
      </c>
      <c r="G22" s="99">
        <v>22000</v>
      </c>
      <c r="H22" s="86">
        <v>28000</v>
      </c>
      <c r="I22" s="97">
        <v>57000</v>
      </c>
      <c r="J22" s="86">
        <v>26000</v>
      </c>
      <c r="K22" s="97">
        <v>35000</v>
      </c>
      <c r="L22" s="97">
        <v>40000</v>
      </c>
      <c r="M22" s="98">
        <v>13000</v>
      </c>
      <c r="N22" s="97">
        <v>15000</v>
      </c>
    </row>
    <row r="23" spans="1:14" x14ac:dyDescent="0.2">
      <c r="A23" s="44">
        <v>9</v>
      </c>
      <c r="B23" s="126">
        <v>6364</v>
      </c>
      <c r="C23" s="104" t="s">
        <v>97</v>
      </c>
      <c r="D23" s="90">
        <v>32500</v>
      </c>
      <c r="E23" s="86"/>
      <c r="F23" s="86">
        <v>32500</v>
      </c>
      <c r="G23" s="86"/>
      <c r="H23" s="86"/>
      <c r="I23" s="97"/>
      <c r="J23" s="86"/>
      <c r="K23" s="97"/>
      <c r="L23" s="97"/>
      <c r="M23" s="91"/>
      <c r="N23" s="91"/>
    </row>
    <row r="24" spans="1:14" x14ac:dyDescent="0.2">
      <c r="A24" s="44">
        <v>10</v>
      </c>
      <c r="B24" s="124">
        <v>634</v>
      </c>
      <c r="C24" s="104" t="s">
        <v>98</v>
      </c>
      <c r="D24" s="90">
        <f>SUM(F24:I24)</f>
        <v>94000</v>
      </c>
      <c r="E24" s="86">
        <f>SUM(G24:I24)</f>
        <v>90000</v>
      </c>
      <c r="F24" s="86">
        <v>4000</v>
      </c>
      <c r="G24" s="86">
        <f>(G18/E18)*90000</f>
        <v>30000</v>
      </c>
      <c r="H24" s="86">
        <f>(H18/E18)*90000</f>
        <v>27000</v>
      </c>
      <c r="I24" s="86">
        <f>(I18/E18)*90000</f>
        <v>33000</v>
      </c>
      <c r="J24" s="86"/>
      <c r="K24" s="86"/>
      <c r="L24" s="86"/>
      <c r="M24" s="86"/>
      <c r="N24" s="86"/>
    </row>
    <row r="25" spans="1:14" x14ac:dyDescent="0.2">
      <c r="A25" s="44">
        <v>11</v>
      </c>
      <c r="B25" s="126">
        <v>6352</v>
      </c>
      <c r="C25" s="104" t="s">
        <v>33</v>
      </c>
      <c r="D25" s="90">
        <v>90000</v>
      </c>
      <c r="E25" s="86"/>
      <c r="F25" s="86">
        <f>D25</f>
        <v>90000</v>
      </c>
      <c r="G25" s="86"/>
      <c r="H25" s="86"/>
      <c r="I25" s="97"/>
      <c r="J25" s="100"/>
      <c r="K25" s="97"/>
      <c r="L25" s="97"/>
      <c r="M25" s="91"/>
      <c r="N25" s="91"/>
    </row>
    <row r="26" spans="1:14" x14ac:dyDescent="0.2">
      <c r="A26" s="44">
        <v>12</v>
      </c>
      <c r="B26" s="126">
        <v>6363</v>
      </c>
      <c r="C26" s="104" t="s">
        <v>96</v>
      </c>
      <c r="D26" s="90">
        <v>45000</v>
      </c>
      <c r="E26" s="86"/>
      <c r="F26" s="86">
        <v>5000</v>
      </c>
      <c r="G26" s="86"/>
      <c r="H26" s="86"/>
      <c r="I26" s="97"/>
      <c r="J26" s="86"/>
      <c r="K26" s="97"/>
      <c r="L26" s="97"/>
      <c r="M26" s="97">
        <v>40000</v>
      </c>
      <c r="N26" s="91"/>
    </row>
    <row r="27" spans="1:14" x14ac:dyDescent="0.2">
      <c r="A27" s="44">
        <v>13</v>
      </c>
      <c r="B27" s="126">
        <v>6391</v>
      </c>
      <c r="C27" s="104" t="s">
        <v>99</v>
      </c>
      <c r="D27" s="86">
        <v>1300</v>
      </c>
      <c r="E27" s="93"/>
      <c r="F27" s="86">
        <f>D27</f>
        <v>1300</v>
      </c>
      <c r="G27" s="86"/>
      <c r="H27" s="87"/>
      <c r="I27" s="87"/>
      <c r="J27" s="101"/>
      <c r="K27" s="87"/>
      <c r="L27" s="101"/>
      <c r="M27" s="101"/>
      <c r="N27" s="91" t="s">
        <v>31</v>
      </c>
    </row>
    <row r="28" spans="1:14" x14ac:dyDescent="0.2">
      <c r="A28" s="44">
        <v>14</v>
      </c>
      <c r="B28" s="126">
        <v>64211</v>
      </c>
      <c r="C28" s="104" t="s">
        <v>82</v>
      </c>
      <c r="D28" s="90">
        <v>18500</v>
      </c>
      <c r="E28" s="86"/>
      <c r="F28" s="86">
        <f>D28</f>
        <v>18500</v>
      </c>
      <c r="G28" s="86"/>
      <c r="H28" s="86"/>
      <c r="I28" s="97"/>
      <c r="J28" s="86"/>
      <c r="K28" s="97"/>
      <c r="L28" s="97"/>
      <c r="M28" s="91"/>
      <c r="N28" s="91"/>
    </row>
    <row r="29" spans="1:14" x14ac:dyDescent="0.2">
      <c r="A29" s="44">
        <v>15</v>
      </c>
      <c r="B29" s="126">
        <v>645</v>
      </c>
      <c r="C29" s="104" t="s">
        <v>34</v>
      </c>
      <c r="D29" s="90">
        <v>14100</v>
      </c>
      <c r="E29" s="86"/>
      <c r="F29" s="86">
        <f>D29</f>
        <v>14100</v>
      </c>
      <c r="G29" s="86"/>
      <c r="H29" s="86"/>
      <c r="I29" s="97"/>
      <c r="J29" s="86"/>
      <c r="K29" s="97"/>
      <c r="L29" s="97"/>
      <c r="M29" s="91"/>
      <c r="N29" s="91"/>
    </row>
    <row r="30" spans="1:14" x14ac:dyDescent="0.2">
      <c r="A30" s="44">
        <v>16</v>
      </c>
      <c r="B30" s="126">
        <v>651</v>
      </c>
      <c r="C30" s="104" t="s">
        <v>35</v>
      </c>
      <c r="D30" s="90">
        <v>50000</v>
      </c>
      <c r="E30" s="86">
        <f>SUM(G30:I30)</f>
        <v>50000</v>
      </c>
      <c r="F30" s="86"/>
      <c r="G30" s="86">
        <f>G18/E18*D30</f>
        <v>16666.666666666664</v>
      </c>
      <c r="H30" s="86">
        <f>H18/E18*D30</f>
        <v>15000</v>
      </c>
      <c r="I30" s="86">
        <f>I18/E18*D30</f>
        <v>18333.333333333332</v>
      </c>
      <c r="J30" s="86"/>
      <c r="K30" s="86"/>
      <c r="L30" s="86"/>
      <c r="M30" s="86"/>
      <c r="N30" s="86"/>
    </row>
    <row r="31" spans="1:14" x14ac:dyDescent="0.2">
      <c r="A31" s="44">
        <v>17</v>
      </c>
      <c r="B31" s="126">
        <v>653</v>
      </c>
      <c r="C31" s="104" t="s">
        <v>48</v>
      </c>
      <c r="D31" s="90">
        <v>11800</v>
      </c>
      <c r="E31" s="86"/>
      <c r="F31" s="86">
        <f>D31</f>
        <v>11800</v>
      </c>
      <c r="G31" s="86"/>
      <c r="H31" s="86"/>
      <c r="I31" s="97"/>
      <c r="J31" s="86"/>
      <c r="K31" s="97"/>
      <c r="L31" s="97"/>
      <c r="M31" s="91"/>
      <c r="N31" s="91"/>
    </row>
    <row r="32" spans="1:14" x14ac:dyDescent="0.2">
      <c r="A32" s="44">
        <v>18</v>
      </c>
      <c r="B32" s="126">
        <v>673</v>
      </c>
      <c r="C32" s="104" t="s">
        <v>100</v>
      </c>
      <c r="D32" s="90">
        <v>22000</v>
      </c>
      <c r="E32" s="86"/>
      <c r="F32" s="86">
        <f>D32</f>
        <v>22000</v>
      </c>
      <c r="G32" s="86"/>
      <c r="H32" s="86"/>
      <c r="I32" s="97"/>
      <c r="J32" s="86"/>
      <c r="K32" s="97"/>
      <c r="L32" s="97"/>
      <c r="M32" s="91"/>
      <c r="N32" s="91"/>
    </row>
    <row r="33" spans="1:14" x14ac:dyDescent="0.2">
      <c r="A33" s="44">
        <v>19</v>
      </c>
      <c r="B33" s="127">
        <v>6814</v>
      </c>
      <c r="C33" s="105" t="s">
        <v>36</v>
      </c>
      <c r="D33" s="87"/>
      <c r="E33" s="93"/>
      <c r="F33" s="87"/>
      <c r="G33" s="87"/>
      <c r="H33" s="87"/>
      <c r="I33" s="87"/>
      <c r="J33" s="101"/>
      <c r="K33" s="87"/>
      <c r="L33" s="101"/>
      <c r="M33" s="101"/>
      <c r="N33" s="64"/>
    </row>
    <row r="34" spans="1:14" x14ac:dyDescent="0.2">
      <c r="A34" s="44"/>
      <c r="B34" s="127">
        <v>68141</v>
      </c>
      <c r="C34" s="105" t="s">
        <v>102</v>
      </c>
      <c r="D34" s="87">
        <v>210000</v>
      </c>
      <c r="E34" s="128"/>
      <c r="F34" s="87">
        <v>210000</v>
      </c>
      <c r="G34" s="87"/>
      <c r="H34" s="87"/>
      <c r="I34" s="87"/>
      <c r="J34" s="101"/>
      <c r="K34" s="87"/>
      <c r="L34" s="101"/>
      <c r="M34" s="101"/>
      <c r="N34" s="64"/>
    </row>
    <row r="35" spans="1:14" x14ac:dyDescent="0.2">
      <c r="A35" s="44"/>
      <c r="B35" s="127">
        <v>68142</v>
      </c>
      <c r="C35" s="105" t="s">
        <v>103</v>
      </c>
      <c r="D35" s="87">
        <f>SUM(G35:N35)</f>
        <v>115960000</v>
      </c>
      <c r="E35" s="301">
        <v>113860000</v>
      </c>
      <c r="F35" s="87"/>
      <c r="G35" s="87">
        <f>1000000/3000000*E35</f>
        <v>37953333.333333328</v>
      </c>
      <c r="H35" s="87">
        <f>900000/3000000*E35</f>
        <v>34158000</v>
      </c>
      <c r="I35" s="87">
        <f>1100000/3000000*E35</f>
        <v>41748666.666666664</v>
      </c>
      <c r="J35" s="101">
        <v>300000</v>
      </c>
      <c r="K35" s="87">
        <v>340000</v>
      </c>
      <c r="L35" s="101">
        <v>660000</v>
      </c>
      <c r="M35" s="101">
        <v>240000</v>
      </c>
      <c r="N35" s="101">
        <v>560000</v>
      </c>
    </row>
    <row r="36" spans="1:14" x14ac:dyDescent="0.2">
      <c r="A36" s="44"/>
      <c r="B36" s="127">
        <v>68143</v>
      </c>
      <c r="C36" s="105" t="s">
        <v>104</v>
      </c>
      <c r="D36" s="87">
        <v>176000</v>
      </c>
      <c r="E36" s="128"/>
      <c r="F36" s="87">
        <v>176000</v>
      </c>
      <c r="G36" s="87"/>
      <c r="H36" s="87"/>
      <c r="I36" s="87"/>
      <c r="J36" s="101"/>
      <c r="K36" s="87"/>
      <c r="L36" s="101"/>
      <c r="M36" s="101"/>
      <c r="N36" s="64"/>
    </row>
    <row r="37" spans="1:14" x14ac:dyDescent="0.2">
      <c r="A37" s="44"/>
      <c r="B37" s="127">
        <v>68144</v>
      </c>
      <c r="C37" s="105" t="s">
        <v>105</v>
      </c>
      <c r="D37" s="87">
        <v>28000</v>
      </c>
      <c r="E37" s="128"/>
      <c r="F37" s="87">
        <v>28000</v>
      </c>
      <c r="G37" s="87"/>
      <c r="H37" s="87"/>
      <c r="I37" s="87"/>
      <c r="J37" s="101"/>
      <c r="K37" s="87"/>
      <c r="L37" s="101"/>
      <c r="M37" s="101"/>
      <c r="N37" s="64"/>
    </row>
    <row r="38" spans="1:14" x14ac:dyDescent="0.2">
      <c r="A38" s="44"/>
      <c r="B38" s="127">
        <v>68145</v>
      </c>
      <c r="C38" s="105" t="s">
        <v>106</v>
      </c>
      <c r="D38" s="87">
        <v>22500</v>
      </c>
      <c r="E38" s="128"/>
      <c r="F38" s="86">
        <v>17500</v>
      </c>
      <c r="G38" s="87"/>
      <c r="H38" s="87"/>
      <c r="I38" s="87"/>
      <c r="J38" s="101"/>
      <c r="K38" s="87"/>
      <c r="L38" s="101"/>
      <c r="M38" s="101"/>
      <c r="N38" s="101">
        <v>5000</v>
      </c>
    </row>
    <row r="39" spans="1:14" x14ac:dyDescent="0.2">
      <c r="A39" s="1"/>
      <c r="B39" s="113"/>
      <c r="C39" s="103" t="s">
        <v>77</v>
      </c>
      <c r="D39" s="97">
        <f t="shared" ref="D39:N39" si="3">SUM(D6:D38)</f>
        <v>295781762.16363633</v>
      </c>
      <c r="E39" s="167">
        <f t="shared" si="3"/>
        <v>289771767.27272725</v>
      </c>
      <c r="F39" s="97">
        <f>SUM(F6:F38)</f>
        <v>1442100</v>
      </c>
      <c r="G39" s="97">
        <f t="shared" si="3"/>
        <v>211014869.09090906</v>
      </c>
      <c r="H39" s="97">
        <f t="shared" si="3"/>
        <v>35427218.18181818</v>
      </c>
      <c r="I39" s="97">
        <f t="shared" si="3"/>
        <v>43329680</v>
      </c>
      <c r="J39" s="305">
        <f t="shared" si="3"/>
        <v>486890.10909090913</v>
      </c>
      <c r="K39" s="305">
        <f t="shared" si="3"/>
        <v>1230076.5090909093</v>
      </c>
      <c r="L39" s="305">
        <f t="shared" si="3"/>
        <v>956345.78181818186</v>
      </c>
      <c r="M39" s="306">
        <f t="shared" si="3"/>
        <v>849250.10909090925</v>
      </c>
      <c r="N39" s="305">
        <f t="shared" si="3"/>
        <v>1045332.3818181818</v>
      </c>
    </row>
    <row r="40" spans="1:14" x14ac:dyDescent="0.2">
      <c r="A40" s="129">
        <v>20</v>
      </c>
      <c r="B40" s="114"/>
      <c r="C40" s="82" t="s">
        <v>78</v>
      </c>
      <c r="D40" s="92"/>
      <c r="E40" s="168">
        <f>SUM(J39:N39)</f>
        <v>4567894.8909090916</v>
      </c>
      <c r="F40" s="131"/>
      <c r="G40" s="307">
        <f>(G18/E18)*E40</f>
        <v>1522631.6303030304</v>
      </c>
      <c r="H40" s="307">
        <f>(H18/E18)*E40</f>
        <v>1370368.4672727275</v>
      </c>
      <c r="I40" s="307">
        <f>(I18/E18)*E40</f>
        <v>1674894.7933333335</v>
      </c>
      <c r="J40" s="132"/>
      <c r="K40" s="132"/>
      <c r="L40" s="132"/>
      <c r="M40" s="132"/>
      <c r="N40" s="92"/>
    </row>
    <row r="41" spans="1:14" x14ac:dyDescent="0.2">
      <c r="A41" s="44"/>
      <c r="B41" s="112"/>
      <c r="C41" s="10"/>
      <c r="D41" s="1"/>
      <c r="E41" s="133"/>
      <c r="F41" s="86"/>
      <c r="G41" s="86"/>
      <c r="H41" s="86"/>
      <c r="I41" s="86"/>
      <c r="J41" s="97"/>
      <c r="K41" s="86"/>
      <c r="L41" s="97"/>
      <c r="M41" s="97"/>
      <c r="N41" s="91"/>
    </row>
    <row r="42" spans="1:14" x14ac:dyDescent="0.2">
      <c r="A42" s="44"/>
      <c r="B42" s="112"/>
      <c r="C42" s="185" t="s">
        <v>151</v>
      </c>
      <c r="D42" s="308">
        <f>D39</f>
        <v>295781762.16363633</v>
      </c>
      <c r="E42" s="309">
        <f>E39+E40</f>
        <v>294339662.16363633</v>
      </c>
      <c r="F42" s="309">
        <f>SUM(F39:F41)</f>
        <v>1442100</v>
      </c>
      <c r="G42" s="309">
        <f t="shared" ref="F42:N42" si="4">SUM(G39:G41)</f>
        <v>212537500.72121209</v>
      </c>
      <c r="H42" s="309">
        <f t="shared" si="4"/>
        <v>36797586.649090908</v>
      </c>
      <c r="I42" s="309">
        <f t="shared" si="4"/>
        <v>45004574.793333337</v>
      </c>
      <c r="J42" s="310">
        <f t="shared" si="4"/>
        <v>486890.10909090913</v>
      </c>
      <c r="K42" s="310">
        <f t="shared" si="4"/>
        <v>1230076.5090909093</v>
      </c>
      <c r="L42" s="310">
        <f t="shared" si="4"/>
        <v>956345.78181818186</v>
      </c>
      <c r="M42" s="310">
        <f t="shared" si="4"/>
        <v>849250.10909090925</v>
      </c>
      <c r="N42" s="305">
        <f t="shared" si="4"/>
        <v>1045332.3818181818</v>
      </c>
    </row>
    <row r="43" spans="1:14" x14ac:dyDescent="0.2">
      <c r="C43" s="274" t="s">
        <v>47</v>
      </c>
      <c r="D43" s="274"/>
      <c r="E43" s="274"/>
      <c r="F43" s="274"/>
      <c r="G43" s="274"/>
      <c r="H43" s="274"/>
      <c r="I43" s="292" t="s">
        <v>32</v>
      </c>
      <c r="J43" s="292"/>
      <c r="K43" s="292"/>
      <c r="L43" s="292"/>
      <c r="M43" s="292"/>
    </row>
  </sheetData>
  <mergeCells count="8">
    <mergeCell ref="A2:N2"/>
    <mergeCell ref="C43:H43"/>
    <mergeCell ref="I43:M43"/>
    <mergeCell ref="A1:N1"/>
    <mergeCell ref="A3:A5"/>
    <mergeCell ref="G3:I3"/>
    <mergeCell ref="J3:N3"/>
    <mergeCell ref="B3:B5"/>
  </mergeCells>
  <pageMargins left="0.39370078740157483" right="0.39370078740157483" top="0.55000000000000004" bottom="0.74803149606299213" header="0.39" footer="0.31496062992125984"/>
  <pageSetup paperSize="9" scale="90" orientation="landscape" horizontalDpi="120" verticalDpi="144" r:id="rId1"/>
  <headerFooter>
    <oddHeader>&amp;C&amp;"Monotype Corsiva,Normal"&amp;8CPCC. Yónel Chocano Figueroa. &amp;"Arial Narrow,Normal"DOCENTE UNHEVAL 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7"/>
  <sheetViews>
    <sheetView workbookViewId="0">
      <selection activeCell="E10" sqref="E10"/>
    </sheetView>
  </sheetViews>
  <sheetFormatPr baseColWidth="10" defaultRowHeight="12.75" x14ac:dyDescent="0.2"/>
  <cols>
    <col min="1" max="1" width="5.140625" customWidth="1"/>
    <col min="2" max="2" width="34.28515625" customWidth="1"/>
    <col min="3" max="3" width="13.85546875" customWidth="1"/>
    <col min="5" max="5" width="13.42578125" customWidth="1"/>
    <col min="6" max="6" width="14.28515625" customWidth="1"/>
  </cols>
  <sheetData>
    <row r="1" spans="1:6" x14ac:dyDescent="0.2">
      <c r="A1" s="299" t="s">
        <v>136</v>
      </c>
      <c r="B1" s="299"/>
      <c r="C1" s="299"/>
      <c r="D1" s="299"/>
      <c r="E1" s="299"/>
      <c r="F1" s="299"/>
    </row>
    <row r="2" spans="1:6" x14ac:dyDescent="0.2">
      <c r="A2" s="181" t="s">
        <v>92</v>
      </c>
      <c r="B2" s="181" t="s">
        <v>131</v>
      </c>
      <c r="C2" s="181" t="s">
        <v>132</v>
      </c>
      <c r="D2" s="181" t="s">
        <v>133</v>
      </c>
      <c r="E2" s="181" t="s">
        <v>134</v>
      </c>
      <c r="F2" s="181" t="s">
        <v>135</v>
      </c>
    </row>
    <row r="3" spans="1:6" x14ac:dyDescent="0.2">
      <c r="A3" s="44">
        <v>1</v>
      </c>
      <c r="B3" s="183" t="s">
        <v>137</v>
      </c>
      <c r="C3" s="177">
        <v>4200000</v>
      </c>
      <c r="D3" s="178">
        <v>5</v>
      </c>
      <c r="E3" s="177">
        <f>C3*5%</f>
        <v>210000</v>
      </c>
      <c r="F3" s="177">
        <v>210000</v>
      </c>
    </row>
    <row r="4" spans="1:6" x14ac:dyDescent="0.2">
      <c r="A4" s="44">
        <v>2</v>
      </c>
      <c r="B4" s="183" t="s">
        <v>138</v>
      </c>
      <c r="C4" s="177"/>
      <c r="D4" s="179"/>
      <c r="E4" s="177"/>
      <c r="F4" s="177"/>
    </row>
    <row r="5" spans="1:6" x14ac:dyDescent="0.2">
      <c r="A5" s="44"/>
      <c r="B5" s="184" t="s">
        <v>144</v>
      </c>
      <c r="C5" s="177">
        <v>569300000</v>
      </c>
      <c r="D5" s="178">
        <v>20</v>
      </c>
      <c r="E5" s="177">
        <f>C5*20%</f>
        <v>113860000</v>
      </c>
      <c r="F5" s="177">
        <f>E5</f>
        <v>113860000</v>
      </c>
    </row>
    <row r="6" spans="1:6" x14ac:dyDescent="0.2">
      <c r="A6" s="44"/>
      <c r="B6" s="184" t="s">
        <v>145</v>
      </c>
      <c r="C6" s="177">
        <v>1500000</v>
      </c>
      <c r="D6" s="178">
        <v>20</v>
      </c>
      <c r="E6" s="177">
        <f t="shared" ref="E6:E11" si="0">C6*20%</f>
        <v>300000</v>
      </c>
      <c r="F6" s="177">
        <f t="shared" ref="F6:F16" si="1">E6</f>
        <v>300000</v>
      </c>
    </row>
    <row r="7" spans="1:6" x14ac:dyDescent="0.2">
      <c r="A7" s="44"/>
      <c r="B7" s="184" t="s">
        <v>146</v>
      </c>
      <c r="C7" s="177">
        <v>1700000</v>
      </c>
      <c r="D7" s="178">
        <v>20</v>
      </c>
      <c r="E7" s="177">
        <f t="shared" si="0"/>
        <v>340000</v>
      </c>
      <c r="F7" s="177">
        <f t="shared" si="1"/>
        <v>340000</v>
      </c>
    </row>
    <row r="8" spans="1:6" x14ac:dyDescent="0.2">
      <c r="A8" s="44"/>
      <c r="B8" s="184" t="s">
        <v>139</v>
      </c>
      <c r="C8" s="177">
        <v>1200000</v>
      </c>
      <c r="D8" s="178">
        <v>20</v>
      </c>
      <c r="E8" s="177">
        <f t="shared" si="0"/>
        <v>240000</v>
      </c>
      <c r="F8" s="177">
        <f t="shared" si="1"/>
        <v>240000</v>
      </c>
    </row>
    <row r="9" spans="1:6" x14ac:dyDescent="0.2">
      <c r="A9" s="44"/>
      <c r="B9" s="184" t="s">
        <v>147</v>
      </c>
      <c r="C9" s="177">
        <v>2800000</v>
      </c>
      <c r="D9" s="178">
        <v>20</v>
      </c>
      <c r="E9" s="177">
        <f t="shared" si="0"/>
        <v>560000</v>
      </c>
      <c r="F9" s="177">
        <f t="shared" si="1"/>
        <v>560000</v>
      </c>
    </row>
    <row r="10" spans="1:6" x14ac:dyDescent="0.2">
      <c r="A10" s="44"/>
      <c r="B10" s="184" t="s">
        <v>148</v>
      </c>
      <c r="C10" s="177">
        <v>3300000</v>
      </c>
      <c r="D10" s="178">
        <v>20</v>
      </c>
      <c r="E10" s="177">
        <f t="shared" si="0"/>
        <v>660000</v>
      </c>
      <c r="F10" s="177">
        <f t="shared" si="1"/>
        <v>660000</v>
      </c>
    </row>
    <row r="11" spans="1:6" x14ac:dyDescent="0.2">
      <c r="A11" s="44">
        <v>3</v>
      </c>
      <c r="B11" s="183" t="s">
        <v>140</v>
      </c>
      <c r="C11" s="177">
        <v>880000</v>
      </c>
      <c r="D11" s="178">
        <v>20</v>
      </c>
      <c r="E11" s="177">
        <f t="shared" si="0"/>
        <v>176000</v>
      </c>
      <c r="F11" s="177">
        <f t="shared" si="1"/>
        <v>176000</v>
      </c>
    </row>
    <row r="12" spans="1:6" x14ac:dyDescent="0.2">
      <c r="A12" s="44">
        <v>4</v>
      </c>
      <c r="B12" s="183" t="s">
        <v>149</v>
      </c>
      <c r="C12" s="177">
        <v>280000</v>
      </c>
      <c r="D12" s="178">
        <v>10</v>
      </c>
      <c r="E12" s="177">
        <f>C12*10%</f>
        <v>28000</v>
      </c>
      <c r="F12" s="177">
        <f t="shared" si="1"/>
        <v>28000</v>
      </c>
    </row>
    <row r="13" spans="1:6" x14ac:dyDescent="0.2">
      <c r="A13" s="44">
        <v>5</v>
      </c>
      <c r="B13" s="183" t="s">
        <v>141</v>
      </c>
      <c r="C13" s="177"/>
      <c r="D13" s="179"/>
      <c r="E13" s="177"/>
      <c r="F13" s="177"/>
    </row>
    <row r="14" spans="1:6" x14ac:dyDescent="0.2">
      <c r="A14" s="44"/>
      <c r="B14" s="184" t="s">
        <v>164</v>
      </c>
      <c r="C14" s="177">
        <v>50000</v>
      </c>
      <c r="D14" s="178">
        <v>25</v>
      </c>
      <c r="E14" s="177">
        <f>C14*25%</f>
        <v>12500</v>
      </c>
      <c r="F14" s="177">
        <f t="shared" si="1"/>
        <v>12500</v>
      </c>
    </row>
    <row r="15" spans="1:6" x14ac:dyDescent="0.2">
      <c r="A15" s="44"/>
      <c r="B15" s="184" t="s">
        <v>150</v>
      </c>
      <c r="C15" s="177">
        <v>50000</v>
      </c>
      <c r="D15" s="178">
        <v>10</v>
      </c>
      <c r="E15" s="177">
        <v>5000</v>
      </c>
      <c r="F15" s="177">
        <f t="shared" si="1"/>
        <v>5000</v>
      </c>
    </row>
    <row r="16" spans="1:6" x14ac:dyDescent="0.2">
      <c r="A16" s="44"/>
      <c r="B16" s="184" t="s">
        <v>142</v>
      </c>
      <c r="C16" s="177">
        <v>50000</v>
      </c>
      <c r="D16" s="178">
        <v>10</v>
      </c>
      <c r="E16" s="177">
        <v>5000</v>
      </c>
      <c r="F16" s="177">
        <f t="shared" si="1"/>
        <v>5000</v>
      </c>
    </row>
    <row r="17" spans="1:6" x14ac:dyDescent="0.2">
      <c r="A17" s="44"/>
      <c r="B17" s="180" t="s">
        <v>143</v>
      </c>
      <c r="C17" s="176">
        <f>SUM(C3:C16)</f>
        <v>585310000</v>
      </c>
      <c r="D17" s="182"/>
      <c r="E17" s="176">
        <f>SUM(E3:E16)</f>
        <v>116396500</v>
      </c>
      <c r="F17" s="176">
        <f>SUM(F3:F16)</f>
        <v>116396500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215"/>
  <sheetViews>
    <sheetView view="pageLayout" topLeftCell="A186" workbookViewId="0">
      <selection activeCell="E54" sqref="E54"/>
    </sheetView>
  </sheetViews>
  <sheetFormatPr baseColWidth="10" defaultRowHeight="12.75" x14ac:dyDescent="0.2"/>
  <cols>
    <col min="1" max="1" width="3.85546875" customWidth="1"/>
    <col min="3" max="3" width="32" customWidth="1"/>
    <col min="4" max="4" width="13.5703125" customWidth="1"/>
    <col min="5" max="5" width="13.85546875" customWidth="1"/>
    <col min="6" max="6" width="15.28515625" customWidth="1"/>
  </cols>
  <sheetData>
    <row r="1" spans="1:6" x14ac:dyDescent="0.2">
      <c r="A1" s="300" t="s">
        <v>154</v>
      </c>
      <c r="B1" s="300"/>
      <c r="C1" s="300"/>
      <c r="D1" s="300"/>
      <c r="E1" s="300"/>
      <c r="F1" s="300"/>
    </row>
    <row r="2" spans="1:6" x14ac:dyDescent="0.2">
      <c r="A2" s="203"/>
      <c r="B2" s="204"/>
      <c r="C2" s="205">
        <v>1</v>
      </c>
      <c r="D2" s="172"/>
      <c r="E2" s="172"/>
      <c r="F2" s="172"/>
    </row>
    <row r="3" spans="1:6" x14ac:dyDescent="0.2">
      <c r="A3" s="203">
        <v>97</v>
      </c>
      <c r="B3" s="204"/>
      <c r="C3" s="206" t="s">
        <v>3</v>
      </c>
      <c r="D3" s="172"/>
      <c r="E3" s="172">
        <f>SUM(D4:D5)</f>
        <v>174667800</v>
      </c>
      <c r="F3" s="172"/>
    </row>
    <row r="4" spans="1:6" x14ac:dyDescent="0.2">
      <c r="A4" s="203"/>
      <c r="B4" s="204">
        <v>9701</v>
      </c>
      <c r="C4" s="206" t="s">
        <v>12</v>
      </c>
      <c r="D4" s="172">
        <v>3000000</v>
      </c>
      <c r="E4" s="172"/>
      <c r="F4" s="172"/>
    </row>
    <row r="5" spans="1:6" x14ac:dyDescent="0.2">
      <c r="A5" s="203"/>
      <c r="B5" s="204">
        <v>9702</v>
      </c>
      <c r="C5" s="206" t="s">
        <v>127</v>
      </c>
      <c r="D5" s="172">
        <v>171667800</v>
      </c>
      <c r="E5" s="172"/>
      <c r="F5" s="172"/>
    </row>
    <row r="6" spans="1:6" x14ac:dyDescent="0.2">
      <c r="A6" s="203">
        <v>90</v>
      </c>
      <c r="B6" s="204"/>
      <c r="C6" s="206" t="s">
        <v>4</v>
      </c>
      <c r="D6" s="172"/>
      <c r="E6" s="172"/>
      <c r="F6" s="172">
        <f>D7</f>
        <v>174667800</v>
      </c>
    </row>
    <row r="7" spans="1:6" x14ac:dyDescent="0.2">
      <c r="A7" s="203"/>
      <c r="B7" s="204">
        <v>9001</v>
      </c>
      <c r="C7" s="206" t="s">
        <v>152</v>
      </c>
      <c r="D7" s="172">
        <f>E3</f>
        <v>174667800</v>
      </c>
      <c r="E7" s="172"/>
      <c r="F7" s="172"/>
    </row>
    <row r="8" spans="1:6" x14ac:dyDescent="0.2">
      <c r="A8" s="203"/>
      <c r="B8" s="204"/>
      <c r="C8" s="205">
        <v>2</v>
      </c>
      <c r="D8" s="172"/>
      <c r="E8" s="172"/>
      <c r="F8" s="172"/>
    </row>
    <row r="9" spans="1:6" x14ac:dyDescent="0.2">
      <c r="A9" s="203">
        <v>97</v>
      </c>
      <c r="B9" s="204"/>
      <c r="C9" s="206" t="s">
        <v>3</v>
      </c>
      <c r="D9" s="172"/>
      <c r="E9" s="172">
        <f>D10</f>
        <v>1782000</v>
      </c>
      <c r="F9" s="172"/>
    </row>
    <row r="10" spans="1:6" x14ac:dyDescent="0.2">
      <c r="A10" s="203"/>
      <c r="B10" s="204">
        <v>9403</v>
      </c>
      <c r="C10" s="206" t="s">
        <v>115</v>
      </c>
      <c r="D10" s="172">
        <f>D16</f>
        <v>1782000</v>
      </c>
      <c r="E10" s="172"/>
      <c r="F10" s="172"/>
    </row>
    <row r="11" spans="1:6" x14ac:dyDescent="0.2">
      <c r="A11" s="203">
        <v>90</v>
      </c>
      <c r="B11" s="204"/>
      <c r="C11" s="206" t="s">
        <v>4</v>
      </c>
      <c r="D11" s="172"/>
      <c r="E11" s="172"/>
      <c r="F11" s="172">
        <f>D12</f>
        <v>1782000</v>
      </c>
    </row>
    <row r="12" spans="1:6" x14ac:dyDescent="0.2">
      <c r="A12" s="203"/>
      <c r="B12" s="204">
        <v>9002</v>
      </c>
      <c r="C12" s="206" t="s">
        <v>153</v>
      </c>
      <c r="D12" s="172">
        <f>D10</f>
        <v>1782000</v>
      </c>
      <c r="E12" s="172"/>
      <c r="F12" s="172"/>
    </row>
    <row r="13" spans="1:6" x14ac:dyDescent="0.2">
      <c r="A13" s="203"/>
      <c r="B13" s="204"/>
      <c r="C13" s="205">
        <v>3</v>
      </c>
      <c r="D13" s="172"/>
      <c r="E13" s="172"/>
      <c r="F13" s="172"/>
    </row>
    <row r="14" spans="1:6" x14ac:dyDescent="0.2">
      <c r="A14" s="203">
        <v>91</v>
      </c>
      <c r="B14" s="204"/>
      <c r="C14" s="207" t="s">
        <v>5</v>
      </c>
      <c r="D14" s="208"/>
      <c r="E14" s="172">
        <f>SUM(D15:D33)</f>
        <v>295781762.16363633</v>
      </c>
      <c r="F14" s="172"/>
    </row>
    <row r="15" spans="1:6" x14ac:dyDescent="0.2">
      <c r="A15" s="203"/>
      <c r="B15" s="204">
        <v>9101</v>
      </c>
      <c r="C15" s="209" t="s">
        <v>46</v>
      </c>
      <c r="D15" s="172">
        <f>'CC borrador'!D6</f>
        <v>171667800</v>
      </c>
      <c r="E15" s="172"/>
      <c r="F15" s="172"/>
    </row>
    <row r="16" spans="1:6" x14ac:dyDescent="0.2">
      <c r="A16" s="203"/>
      <c r="B16" s="210">
        <v>9102</v>
      </c>
      <c r="C16" s="211" t="s">
        <v>116</v>
      </c>
      <c r="D16" s="212">
        <f>SUM('CC borrador'!D8:D16)</f>
        <v>1782000</v>
      </c>
      <c r="E16" s="172"/>
      <c r="F16" s="172"/>
    </row>
    <row r="17" spans="1:6" x14ac:dyDescent="0.2">
      <c r="A17" s="203"/>
      <c r="B17" s="204">
        <v>9103</v>
      </c>
      <c r="C17" s="209" t="s">
        <v>30</v>
      </c>
      <c r="D17" s="172">
        <f>'CC borrador'!D17</f>
        <v>524000</v>
      </c>
      <c r="E17" s="172"/>
      <c r="F17" s="172"/>
    </row>
    <row r="18" spans="1:6" x14ac:dyDescent="0.2">
      <c r="A18" s="203"/>
      <c r="B18" s="213">
        <v>9104</v>
      </c>
      <c r="C18" s="211" t="s">
        <v>0</v>
      </c>
      <c r="D18" s="212">
        <f>'CC borrador'!D18</f>
        <v>3574300</v>
      </c>
      <c r="E18" s="172"/>
      <c r="F18" s="172"/>
    </row>
    <row r="19" spans="1:6" x14ac:dyDescent="0.2">
      <c r="A19" s="203"/>
      <c r="B19" s="204">
        <v>9105</v>
      </c>
      <c r="C19" s="209" t="s">
        <v>1</v>
      </c>
      <c r="D19" s="172">
        <f>'CC borrador'!D19</f>
        <v>372572.72727272729</v>
      </c>
      <c r="E19" s="172"/>
      <c r="F19" s="172"/>
    </row>
    <row r="20" spans="1:6" x14ac:dyDescent="0.2">
      <c r="A20" s="203"/>
      <c r="B20" s="213">
        <v>9106</v>
      </c>
      <c r="C20" s="211" t="s">
        <v>84</v>
      </c>
      <c r="D20" s="212">
        <f>'CC borrador'!D20</f>
        <v>462816.70909090911</v>
      </c>
      <c r="E20" s="172"/>
      <c r="F20" s="172"/>
    </row>
    <row r="21" spans="1:6" x14ac:dyDescent="0.2">
      <c r="A21" s="203"/>
      <c r="B21" s="204">
        <v>9107</v>
      </c>
      <c r="C21" s="209" t="s">
        <v>2</v>
      </c>
      <c r="D21" s="172">
        <f>'CC borrador'!D21</f>
        <v>372572.72727272729</v>
      </c>
      <c r="E21" s="172"/>
      <c r="F21" s="172"/>
    </row>
    <row r="22" spans="1:6" x14ac:dyDescent="0.2">
      <c r="A22" s="203"/>
      <c r="B22" s="213">
        <v>9108</v>
      </c>
      <c r="C22" s="211" t="s">
        <v>95</v>
      </c>
      <c r="D22" s="212">
        <f>'CC borrador'!D22</f>
        <v>250000</v>
      </c>
      <c r="E22" s="172"/>
      <c r="F22" s="172"/>
    </row>
    <row r="23" spans="1:6" x14ac:dyDescent="0.2">
      <c r="A23" s="203"/>
      <c r="B23" s="204">
        <v>9109</v>
      </c>
      <c r="C23" s="209" t="s">
        <v>97</v>
      </c>
      <c r="D23" s="172">
        <f>'CC borrador'!D23</f>
        <v>32500</v>
      </c>
      <c r="E23" s="172"/>
      <c r="F23" s="172"/>
    </row>
    <row r="24" spans="1:6" x14ac:dyDescent="0.2">
      <c r="A24" s="203"/>
      <c r="B24" s="213">
        <v>9110</v>
      </c>
      <c r="C24" s="211" t="s">
        <v>98</v>
      </c>
      <c r="D24" s="212">
        <f>'CC borrador'!D24</f>
        <v>94000</v>
      </c>
      <c r="E24" s="172"/>
      <c r="F24" s="172"/>
    </row>
    <row r="25" spans="1:6" x14ac:dyDescent="0.2">
      <c r="A25" s="203"/>
      <c r="B25" s="204">
        <v>9111</v>
      </c>
      <c r="C25" s="209" t="s">
        <v>33</v>
      </c>
      <c r="D25" s="172">
        <f>'CC borrador'!D25</f>
        <v>90000</v>
      </c>
      <c r="E25" s="172"/>
      <c r="F25" s="172"/>
    </row>
    <row r="26" spans="1:6" x14ac:dyDescent="0.2">
      <c r="A26" s="203"/>
      <c r="B26" s="213">
        <v>9112</v>
      </c>
      <c r="C26" s="211" t="s">
        <v>96</v>
      </c>
      <c r="D26" s="212">
        <f>'CC borrador'!D26</f>
        <v>45000</v>
      </c>
      <c r="E26" s="172"/>
      <c r="F26" s="172"/>
    </row>
    <row r="27" spans="1:6" x14ac:dyDescent="0.2">
      <c r="A27" s="203"/>
      <c r="B27" s="204">
        <v>9113</v>
      </c>
      <c r="C27" s="209" t="s">
        <v>99</v>
      </c>
      <c r="D27" s="172">
        <f>'CC borrador'!D27</f>
        <v>1300</v>
      </c>
      <c r="E27" s="172"/>
      <c r="F27" s="172"/>
    </row>
    <row r="28" spans="1:6" x14ac:dyDescent="0.2">
      <c r="A28" s="203"/>
      <c r="B28" s="213">
        <v>9114</v>
      </c>
      <c r="C28" s="211" t="s">
        <v>82</v>
      </c>
      <c r="D28" s="212">
        <f>'CC borrador'!D28</f>
        <v>18500</v>
      </c>
      <c r="E28" s="172"/>
      <c r="F28" s="172"/>
    </row>
    <row r="29" spans="1:6" x14ac:dyDescent="0.2">
      <c r="A29" s="203"/>
      <c r="B29" s="204">
        <v>9115</v>
      </c>
      <c r="C29" s="209" t="s">
        <v>34</v>
      </c>
      <c r="D29" s="172">
        <f>'CC borrador'!D29</f>
        <v>14100</v>
      </c>
      <c r="E29" s="172"/>
      <c r="F29" s="172"/>
    </row>
    <row r="30" spans="1:6" x14ac:dyDescent="0.2">
      <c r="A30" s="203"/>
      <c r="B30" s="213">
        <v>9116</v>
      </c>
      <c r="C30" s="211" t="s">
        <v>35</v>
      </c>
      <c r="D30" s="212">
        <f>'CC borrador'!D30</f>
        <v>50000</v>
      </c>
      <c r="E30" s="172"/>
      <c r="F30" s="172"/>
    </row>
    <row r="31" spans="1:6" x14ac:dyDescent="0.2">
      <c r="A31" s="203"/>
      <c r="B31" s="204">
        <v>9117</v>
      </c>
      <c r="C31" s="209" t="s">
        <v>165</v>
      </c>
      <c r="D31" s="172">
        <f>'CC borrador'!D31</f>
        <v>11800</v>
      </c>
      <c r="E31" s="172"/>
      <c r="F31" s="172"/>
    </row>
    <row r="32" spans="1:6" x14ac:dyDescent="0.2">
      <c r="A32" s="203"/>
      <c r="B32" s="213">
        <v>9118</v>
      </c>
      <c r="C32" s="211" t="s">
        <v>100</v>
      </c>
      <c r="D32" s="212">
        <f>'CC borrador'!D32</f>
        <v>22000</v>
      </c>
      <c r="E32" s="172"/>
      <c r="F32" s="172"/>
    </row>
    <row r="33" spans="1:6" x14ac:dyDescent="0.2">
      <c r="A33" s="203"/>
      <c r="B33" s="204">
        <v>9119</v>
      </c>
      <c r="C33" s="209" t="s">
        <v>36</v>
      </c>
      <c r="D33" s="172">
        <f>'CC borrador'!D33</f>
        <v>116396500</v>
      </c>
      <c r="E33" s="172"/>
      <c r="F33" s="172"/>
    </row>
    <row r="34" spans="1:6" x14ac:dyDescent="0.2">
      <c r="A34" s="203">
        <v>97</v>
      </c>
      <c r="B34" s="204"/>
      <c r="C34" s="214" t="s">
        <v>6</v>
      </c>
      <c r="D34" s="172"/>
      <c r="E34" s="172"/>
      <c r="F34" s="172">
        <f>SUM(D35:D36)</f>
        <v>173449800</v>
      </c>
    </row>
    <row r="35" spans="1:6" x14ac:dyDescent="0.2">
      <c r="A35" s="203"/>
      <c r="B35" s="204">
        <v>9702</v>
      </c>
      <c r="C35" s="215" t="str">
        <f>C15</f>
        <v>Materias primas</v>
      </c>
      <c r="D35" s="172">
        <f>D15</f>
        <v>171667800</v>
      </c>
      <c r="E35" s="172"/>
      <c r="F35" s="172"/>
    </row>
    <row r="36" spans="1:6" x14ac:dyDescent="0.2">
      <c r="A36" s="203"/>
      <c r="B36" s="216">
        <v>9703</v>
      </c>
      <c r="C36" s="217" t="s">
        <v>116</v>
      </c>
      <c r="D36" s="172">
        <f>D16</f>
        <v>1782000</v>
      </c>
      <c r="E36" s="172"/>
      <c r="F36" s="172"/>
    </row>
    <row r="37" spans="1:6" x14ac:dyDescent="0.2">
      <c r="A37" s="203">
        <v>90</v>
      </c>
      <c r="B37" s="204"/>
      <c r="C37" s="217" t="s">
        <v>4</v>
      </c>
      <c r="D37" s="172"/>
      <c r="E37" s="172"/>
      <c r="F37" s="172">
        <f>SUM(D38:D43)</f>
        <v>122331962.16363636</v>
      </c>
    </row>
    <row r="38" spans="1:6" x14ac:dyDescent="0.2">
      <c r="A38" s="203"/>
      <c r="B38" s="216">
        <v>9003</v>
      </c>
      <c r="C38" s="217" t="s">
        <v>117</v>
      </c>
      <c r="D38" s="172">
        <f>SUM('CC borrador'!D17:D21)</f>
        <v>5306262.163636364</v>
      </c>
      <c r="E38" s="172"/>
      <c r="F38" s="172"/>
    </row>
    <row r="39" spans="1:6" x14ac:dyDescent="0.2">
      <c r="A39" s="203"/>
      <c r="B39" s="204">
        <v>9004</v>
      </c>
      <c r="C39" s="217" t="s">
        <v>118</v>
      </c>
      <c r="D39" s="172">
        <f>SUM('CC borrador'!D22:D27)</f>
        <v>512800</v>
      </c>
      <c r="E39" s="172"/>
      <c r="F39" s="172"/>
    </row>
    <row r="40" spans="1:6" x14ac:dyDescent="0.2">
      <c r="A40" s="203"/>
      <c r="B40" s="216">
        <v>9005</v>
      </c>
      <c r="C40" s="217" t="s">
        <v>119</v>
      </c>
      <c r="D40" s="172">
        <f>SUM('CC borrador'!D28:D29)</f>
        <v>32600</v>
      </c>
      <c r="E40" s="172"/>
      <c r="F40" s="172"/>
    </row>
    <row r="41" spans="1:6" x14ac:dyDescent="0.2">
      <c r="A41" s="203"/>
      <c r="B41" s="204">
        <v>9006</v>
      </c>
      <c r="C41" s="217" t="s">
        <v>120</v>
      </c>
      <c r="D41" s="172">
        <f>SUM('CC borrador'!D30:D31)</f>
        <v>61800</v>
      </c>
      <c r="E41" s="172"/>
      <c r="F41" s="172"/>
    </row>
    <row r="42" spans="1:6" x14ac:dyDescent="0.2">
      <c r="A42" s="203"/>
      <c r="B42" s="216">
        <v>9007</v>
      </c>
      <c r="C42" s="217" t="s">
        <v>121</v>
      </c>
      <c r="D42" s="172">
        <f>'CC borrador'!D32</f>
        <v>22000</v>
      </c>
      <c r="E42" s="172"/>
      <c r="F42" s="172"/>
    </row>
    <row r="43" spans="1:6" x14ac:dyDescent="0.2">
      <c r="A43" s="203"/>
      <c r="B43" s="204">
        <v>9008</v>
      </c>
      <c r="C43" s="217" t="s">
        <v>122</v>
      </c>
      <c r="D43" s="172">
        <v>116396500</v>
      </c>
      <c r="E43" s="172"/>
      <c r="F43" s="172"/>
    </row>
    <row r="44" spans="1:6" x14ac:dyDescent="0.2">
      <c r="A44" s="203"/>
      <c r="B44" s="204"/>
      <c r="C44" s="205">
        <v>4</v>
      </c>
      <c r="D44" s="172"/>
      <c r="E44" s="172"/>
      <c r="F44" s="172"/>
    </row>
    <row r="45" spans="1:6" x14ac:dyDescent="0.2">
      <c r="A45" s="203">
        <v>92</v>
      </c>
      <c r="B45" s="204"/>
      <c r="C45" s="214" t="s">
        <v>123</v>
      </c>
      <c r="D45" s="172"/>
      <c r="E45" s="172">
        <f>SUM(D46:D56)</f>
        <v>212537500.72090906</v>
      </c>
      <c r="F45" s="172"/>
    </row>
    <row r="46" spans="1:6" x14ac:dyDescent="0.2">
      <c r="A46" s="203"/>
      <c r="B46" s="218">
        <v>9201</v>
      </c>
      <c r="C46" s="219" t="s">
        <v>127</v>
      </c>
      <c r="D46" s="208">
        <f>'CC borrador'!G6</f>
        <v>171667800</v>
      </c>
      <c r="E46" s="172"/>
      <c r="F46" s="172"/>
    </row>
    <row r="47" spans="1:6" x14ac:dyDescent="0.2">
      <c r="A47" s="203"/>
      <c r="B47" s="218">
        <v>9202</v>
      </c>
      <c r="C47" s="219" t="s">
        <v>30</v>
      </c>
      <c r="D47" s="208">
        <f>'CC borrador'!G17</f>
        <v>22000</v>
      </c>
      <c r="E47" s="172"/>
      <c r="F47" s="172"/>
    </row>
    <row r="48" spans="1:6" x14ac:dyDescent="0.2">
      <c r="A48" s="203"/>
      <c r="B48" s="218">
        <v>9203</v>
      </c>
      <c r="C48" s="220" t="str">
        <f>'CC borrador'!C18</f>
        <v>Salarios</v>
      </c>
      <c r="D48" s="172">
        <f>'CC borrador'!G18</f>
        <v>1000000</v>
      </c>
      <c r="E48" s="172"/>
      <c r="F48" s="172"/>
    </row>
    <row r="49" spans="1:6" x14ac:dyDescent="0.2">
      <c r="A49" s="203"/>
      <c r="B49" s="218">
        <v>9204</v>
      </c>
      <c r="C49" s="220" t="str">
        <f>'CC borrador'!C19</f>
        <v>Vacaciones</v>
      </c>
      <c r="D49" s="172">
        <f>'CC borrador'!G19</f>
        <v>92909.090909090912</v>
      </c>
      <c r="E49" s="172"/>
      <c r="F49" s="172"/>
    </row>
    <row r="50" spans="1:6" x14ac:dyDescent="0.2">
      <c r="A50" s="203"/>
      <c r="B50" s="218">
        <v>9205</v>
      </c>
      <c r="C50" s="220" t="str">
        <f>'CC borrador'!C20</f>
        <v>Seguridad y previsión social</v>
      </c>
      <c r="D50" s="172">
        <f>'CC borrador'!G20</f>
        <v>117250.90909090909</v>
      </c>
      <c r="E50" s="172"/>
      <c r="F50" s="172"/>
    </row>
    <row r="51" spans="1:6" x14ac:dyDescent="0.2">
      <c r="A51" s="203"/>
      <c r="B51" s="218">
        <v>9206</v>
      </c>
      <c r="C51" s="220" t="s">
        <v>2</v>
      </c>
      <c r="D51" s="172">
        <f>'CC borrador'!G21</f>
        <v>92909.090909090912</v>
      </c>
      <c r="E51" s="172"/>
      <c r="F51" s="172"/>
    </row>
    <row r="52" spans="1:6" x14ac:dyDescent="0.2">
      <c r="A52" s="203"/>
      <c r="B52" s="218">
        <v>9207</v>
      </c>
      <c r="C52" s="221" t="s">
        <v>95</v>
      </c>
      <c r="D52" s="172">
        <f>'CC borrador'!G22</f>
        <v>22000</v>
      </c>
      <c r="E52" s="172"/>
      <c r="F52" s="172"/>
    </row>
    <row r="53" spans="1:6" x14ac:dyDescent="0.2">
      <c r="A53" s="203"/>
      <c r="B53" s="218">
        <v>9208</v>
      </c>
      <c r="C53" s="220" t="s">
        <v>98</v>
      </c>
      <c r="D53" s="172">
        <f>'CC borrador'!G24</f>
        <v>30000</v>
      </c>
      <c r="E53" s="172"/>
      <c r="F53" s="172"/>
    </row>
    <row r="54" spans="1:6" x14ac:dyDescent="0.2">
      <c r="A54" s="203"/>
      <c r="B54" s="218">
        <v>9209</v>
      </c>
      <c r="C54" s="222" t="s">
        <v>35</v>
      </c>
      <c r="D54" s="172">
        <f>'CC borrador'!G30</f>
        <v>16666.666666666664</v>
      </c>
      <c r="E54" s="172"/>
      <c r="F54" s="172"/>
    </row>
    <row r="55" spans="1:6" x14ac:dyDescent="0.2">
      <c r="A55" s="203"/>
      <c r="B55" s="218">
        <v>9210</v>
      </c>
      <c r="C55" s="223" t="s">
        <v>36</v>
      </c>
      <c r="D55" s="172">
        <f>'CC borrador'!G33</f>
        <v>37953333.333333328</v>
      </c>
      <c r="E55" s="172"/>
      <c r="F55" s="172"/>
    </row>
    <row r="56" spans="1:6" x14ac:dyDescent="0.2">
      <c r="A56" s="203"/>
      <c r="B56" s="218">
        <v>9211</v>
      </c>
      <c r="C56" s="223" t="s">
        <v>78</v>
      </c>
      <c r="D56" s="172">
        <f>'CC borrador'!G35</f>
        <v>1522631.63</v>
      </c>
      <c r="E56" s="172"/>
      <c r="F56" s="172"/>
    </row>
    <row r="57" spans="1:6" x14ac:dyDescent="0.2">
      <c r="A57" s="203">
        <v>93</v>
      </c>
      <c r="B57" s="224"/>
      <c r="C57" s="225" t="s">
        <v>125</v>
      </c>
      <c r="D57" s="172"/>
      <c r="E57" s="172">
        <f>SUM(D58:D67)</f>
        <v>36797586.651818179</v>
      </c>
      <c r="F57" s="172"/>
    </row>
    <row r="58" spans="1:6" x14ac:dyDescent="0.2">
      <c r="A58" s="203"/>
      <c r="B58" s="218">
        <v>9301</v>
      </c>
      <c r="C58" s="173" t="s">
        <v>30</v>
      </c>
      <c r="D58" s="172">
        <f>'CC borrador'!H17</f>
        <v>25000</v>
      </c>
      <c r="E58" s="172"/>
      <c r="F58" s="172"/>
    </row>
    <row r="59" spans="1:6" x14ac:dyDescent="0.2">
      <c r="A59" s="203"/>
      <c r="B59" s="218">
        <v>9302</v>
      </c>
      <c r="C59" s="173" t="s">
        <v>0</v>
      </c>
      <c r="D59" s="172">
        <f>'CC borrador'!H18</f>
        <v>900000</v>
      </c>
      <c r="E59" s="172"/>
      <c r="F59" s="172"/>
    </row>
    <row r="60" spans="1:6" x14ac:dyDescent="0.2">
      <c r="A60" s="203"/>
      <c r="B60" s="218">
        <v>9303</v>
      </c>
      <c r="C60" s="173" t="s">
        <v>1</v>
      </c>
      <c r="D60" s="172">
        <f>'CC borrador'!H19</f>
        <v>84090.909090909088</v>
      </c>
      <c r="E60" s="172"/>
      <c r="F60" s="172"/>
    </row>
    <row r="61" spans="1:6" x14ac:dyDescent="0.2">
      <c r="A61" s="203"/>
      <c r="B61" s="218">
        <v>9304</v>
      </c>
      <c r="C61" s="173" t="s">
        <v>84</v>
      </c>
      <c r="D61" s="172">
        <f>'CC borrador'!H20</f>
        <v>106036.36363636366</v>
      </c>
      <c r="E61" s="172"/>
      <c r="F61" s="172"/>
    </row>
    <row r="62" spans="1:6" x14ac:dyDescent="0.2">
      <c r="A62" s="203"/>
      <c r="B62" s="218">
        <v>9305</v>
      </c>
      <c r="C62" s="173" t="s">
        <v>2</v>
      </c>
      <c r="D62" s="172">
        <f>'CC borrador'!H21</f>
        <v>84090.909090909088</v>
      </c>
      <c r="E62" s="172"/>
      <c r="F62" s="172"/>
    </row>
    <row r="63" spans="1:6" x14ac:dyDescent="0.2">
      <c r="A63" s="203"/>
      <c r="B63" s="218">
        <v>9306</v>
      </c>
      <c r="C63" s="173" t="s">
        <v>95</v>
      </c>
      <c r="D63" s="172">
        <f>'CC borrador'!H22</f>
        <v>28000</v>
      </c>
      <c r="E63" s="172"/>
      <c r="F63" s="172"/>
    </row>
    <row r="64" spans="1:6" x14ac:dyDescent="0.2">
      <c r="A64" s="203"/>
      <c r="B64" s="218">
        <v>9307</v>
      </c>
      <c r="C64" s="173" t="s">
        <v>98</v>
      </c>
      <c r="D64" s="172">
        <f>'CC borrador'!H24</f>
        <v>27000</v>
      </c>
      <c r="E64" s="172"/>
      <c r="F64" s="172"/>
    </row>
    <row r="65" spans="1:6" x14ac:dyDescent="0.2">
      <c r="A65" s="203"/>
      <c r="B65" s="218">
        <v>9308</v>
      </c>
      <c r="C65" s="173" t="s">
        <v>35</v>
      </c>
      <c r="D65" s="172">
        <f>'CC borrador'!H30</f>
        <v>15000</v>
      </c>
      <c r="E65" s="172"/>
      <c r="F65" s="172"/>
    </row>
    <row r="66" spans="1:6" x14ac:dyDescent="0.2">
      <c r="A66" s="203"/>
      <c r="B66" s="218">
        <v>9309</v>
      </c>
      <c r="C66" s="173" t="s">
        <v>36</v>
      </c>
      <c r="D66" s="172">
        <f>'CC borrador'!H33</f>
        <v>34158000</v>
      </c>
      <c r="E66" s="172"/>
      <c r="F66" s="172"/>
    </row>
    <row r="67" spans="1:6" x14ac:dyDescent="0.2">
      <c r="A67" s="203"/>
      <c r="B67" s="218">
        <v>9310</v>
      </c>
      <c r="C67" s="223" t="s">
        <v>78</v>
      </c>
      <c r="D67" s="172">
        <f>'CC borrador'!H35</f>
        <v>1370368.47</v>
      </c>
      <c r="E67" s="172"/>
      <c r="F67" s="172"/>
    </row>
    <row r="68" spans="1:6" x14ac:dyDescent="0.2">
      <c r="A68" s="203">
        <v>94</v>
      </c>
      <c r="B68" s="218"/>
      <c r="C68" s="173" t="s">
        <v>126</v>
      </c>
      <c r="D68" s="172"/>
      <c r="E68" s="172">
        <f>SUM(D69:D78)</f>
        <v>45004574.789999999</v>
      </c>
      <c r="F68" s="172"/>
    </row>
    <row r="69" spans="1:6" x14ac:dyDescent="0.2">
      <c r="A69" s="203"/>
      <c r="B69" s="218">
        <v>9401</v>
      </c>
      <c r="C69" s="173" t="s">
        <v>30</v>
      </c>
      <c r="D69" s="172">
        <f>'CC borrador'!I17</f>
        <v>36000</v>
      </c>
      <c r="E69" s="172"/>
      <c r="F69" s="172"/>
    </row>
    <row r="70" spans="1:6" x14ac:dyDescent="0.2">
      <c r="A70" s="203"/>
      <c r="B70" s="218">
        <v>9402</v>
      </c>
      <c r="C70" s="173" t="s">
        <v>0</v>
      </c>
      <c r="D70" s="172">
        <f>'CC borrador'!I18</f>
        <v>1100000</v>
      </c>
      <c r="E70" s="172"/>
      <c r="F70" s="172"/>
    </row>
    <row r="71" spans="1:6" x14ac:dyDescent="0.2">
      <c r="A71" s="203"/>
      <c r="B71" s="218">
        <v>9403</v>
      </c>
      <c r="C71" s="173" t="s">
        <v>1</v>
      </c>
      <c r="D71" s="172">
        <f>'CC borrador'!I19</f>
        <v>103272.72727272728</v>
      </c>
      <c r="E71" s="172"/>
      <c r="F71" s="172"/>
    </row>
    <row r="72" spans="1:6" x14ac:dyDescent="0.2">
      <c r="A72" s="203"/>
      <c r="B72" s="218">
        <v>9404</v>
      </c>
      <c r="C72" s="226" t="s">
        <v>84</v>
      </c>
      <c r="D72" s="172">
        <f>'CC borrador'!I20</f>
        <v>130134.54545454546</v>
      </c>
      <c r="E72" s="172"/>
      <c r="F72" s="172"/>
    </row>
    <row r="73" spans="1:6" x14ac:dyDescent="0.2">
      <c r="A73" s="203"/>
      <c r="B73" s="218">
        <v>9405</v>
      </c>
      <c r="C73" s="226" t="s">
        <v>2</v>
      </c>
      <c r="D73" s="172">
        <f>'CC borrador'!I21</f>
        <v>103272.72727272728</v>
      </c>
      <c r="E73" s="172"/>
      <c r="F73" s="172"/>
    </row>
    <row r="74" spans="1:6" x14ac:dyDescent="0.2">
      <c r="A74" s="203"/>
      <c r="B74" s="218">
        <v>9406</v>
      </c>
      <c r="C74" s="226" t="s">
        <v>95</v>
      </c>
      <c r="D74" s="172">
        <f>'CC borrador'!I22</f>
        <v>57000</v>
      </c>
      <c r="E74" s="172"/>
      <c r="F74" s="172"/>
    </row>
    <row r="75" spans="1:6" x14ac:dyDescent="0.2">
      <c r="A75" s="203"/>
      <c r="B75" s="218">
        <v>9407</v>
      </c>
      <c r="C75" s="226" t="s">
        <v>98</v>
      </c>
      <c r="D75" s="172">
        <f>'CC borrador'!I24</f>
        <v>33000</v>
      </c>
      <c r="E75" s="172"/>
      <c r="F75" s="172"/>
    </row>
    <row r="76" spans="1:6" x14ac:dyDescent="0.2">
      <c r="A76" s="203"/>
      <c r="B76" s="218">
        <v>9408</v>
      </c>
      <c r="C76" s="226" t="s">
        <v>35</v>
      </c>
      <c r="D76" s="172">
        <f>'CC borrador'!I30</f>
        <v>18333.333333333332</v>
      </c>
      <c r="E76" s="172"/>
      <c r="F76" s="172"/>
    </row>
    <row r="77" spans="1:6" x14ac:dyDescent="0.2">
      <c r="A77" s="203"/>
      <c r="B77" s="218">
        <v>9409</v>
      </c>
      <c r="C77" s="226" t="s">
        <v>36</v>
      </c>
      <c r="D77" s="172">
        <f>'CC borrador'!I33</f>
        <v>41748666.666666664</v>
      </c>
      <c r="E77" s="172"/>
      <c r="F77" s="172"/>
    </row>
    <row r="78" spans="1:6" x14ac:dyDescent="0.2">
      <c r="A78" s="203"/>
      <c r="B78" s="218">
        <v>9410</v>
      </c>
      <c r="C78" s="223" t="s">
        <v>78</v>
      </c>
      <c r="D78" s="172">
        <f>'CC borrador'!I35</f>
        <v>1674894.79</v>
      </c>
      <c r="E78" s="172"/>
      <c r="F78" s="172"/>
    </row>
    <row r="79" spans="1:6" x14ac:dyDescent="0.2">
      <c r="A79" s="203">
        <v>96</v>
      </c>
      <c r="B79" s="204"/>
      <c r="C79" s="214" t="s">
        <v>7</v>
      </c>
      <c r="D79" s="172"/>
      <c r="E79" s="172">
        <f>SUM(D80:D95)</f>
        <v>1442100</v>
      </c>
      <c r="F79" s="172"/>
    </row>
    <row r="80" spans="1:6" x14ac:dyDescent="0.2">
      <c r="A80" s="203"/>
      <c r="B80" s="204">
        <v>9601</v>
      </c>
      <c r="C80" s="226" t="str">
        <f>'CC borrador'!C7</f>
        <v>Materiales Aux., Sum. y Repuestos</v>
      </c>
      <c r="D80" s="172">
        <f>'CC borrador'!F16</f>
        <v>375000</v>
      </c>
      <c r="E80" s="172"/>
      <c r="F80" s="172"/>
    </row>
    <row r="81" spans="1:6" x14ac:dyDescent="0.2">
      <c r="A81" s="203"/>
      <c r="B81" s="204">
        <v>9602</v>
      </c>
      <c r="C81" s="226" t="str">
        <f>'CC borrador'!C17</f>
        <v>Sueldos</v>
      </c>
      <c r="D81" s="172">
        <f>'CC borrador'!F17</f>
        <v>330000</v>
      </c>
      <c r="E81" s="172"/>
      <c r="F81" s="172"/>
    </row>
    <row r="82" spans="1:6" x14ac:dyDescent="0.2">
      <c r="A82" s="203"/>
      <c r="B82" s="204">
        <v>9603</v>
      </c>
      <c r="C82" s="226" t="s">
        <v>1</v>
      </c>
      <c r="D82" s="172">
        <f>'CC borrador'!F19</f>
        <v>30000</v>
      </c>
      <c r="E82" s="172"/>
      <c r="F82" s="172"/>
    </row>
    <row r="83" spans="1:6" x14ac:dyDescent="0.2">
      <c r="A83" s="203"/>
      <c r="B83" s="204">
        <v>9604</v>
      </c>
      <c r="C83" s="226" t="s">
        <v>84</v>
      </c>
      <c r="D83" s="172">
        <f>'CC borrador'!F20</f>
        <v>32400</v>
      </c>
      <c r="E83" s="172"/>
      <c r="F83" s="172"/>
    </row>
    <row r="84" spans="1:6" x14ac:dyDescent="0.2">
      <c r="A84" s="203"/>
      <c r="B84" s="204">
        <v>9605</v>
      </c>
      <c r="C84" s="226" t="s">
        <v>2</v>
      </c>
      <c r="D84" s="172">
        <f>'CC borrador'!F21</f>
        <v>30000</v>
      </c>
      <c r="E84" s="172"/>
      <c r="F84" s="172"/>
    </row>
    <row r="85" spans="1:6" x14ac:dyDescent="0.2">
      <c r="A85" s="203"/>
      <c r="B85" s="204">
        <v>9606</v>
      </c>
      <c r="C85" s="226" t="s">
        <v>95</v>
      </c>
      <c r="D85" s="172">
        <f>'CC borrador'!F22</f>
        <v>14000</v>
      </c>
      <c r="E85" s="172"/>
      <c r="F85" s="172"/>
    </row>
    <row r="86" spans="1:6" x14ac:dyDescent="0.2">
      <c r="A86" s="203"/>
      <c r="B86" s="204">
        <v>9607</v>
      </c>
      <c r="C86" s="226" t="s">
        <v>97</v>
      </c>
      <c r="D86" s="172">
        <f>'CC borrador'!F23</f>
        <v>32500</v>
      </c>
      <c r="E86" s="172"/>
      <c r="F86" s="172"/>
    </row>
    <row r="87" spans="1:6" x14ac:dyDescent="0.2">
      <c r="A87" s="203"/>
      <c r="B87" s="204">
        <v>9608</v>
      </c>
      <c r="C87" s="226" t="s">
        <v>98</v>
      </c>
      <c r="D87" s="172">
        <f>'CC borrador'!F24</f>
        <v>4000</v>
      </c>
      <c r="E87" s="172"/>
      <c r="F87" s="172"/>
    </row>
    <row r="88" spans="1:6" x14ac:dyDescent="0.2">
      <c r="A88" s="203"/>
      <c r="B88" s="204">
        <v>9609</v>
      </c>
      <c r="C88" s="226" t="s">
        <v>33</v>
      </c>
      <c r="D88" s="172">
        <f>'CC borrador'!F25</f>
        <v>90000</v>
      </c>
      <c r="E88" s="172"/>
      <c r="F88" s="172"/>
    </row>
    <row r="89" spans="1:6" x14ac:dyDescent="0.2">
      <c r="A89" s="203"/>
      <c r="B89" s="204">
        <v>9610</v>
      </c>
      <c r="C89" s="226" t="s">
        <v>96</v>
      </c>
      <c r="D89" s="172">
        <f>'CC borrador'!F26</f>
        <v>5000</v>
      </c>
      <c r="E89" s="172"/>
      <c r="F89" s="172"/>
    </row>
    <row r="90" spans="1:6" x14ac:dyDescent="0.2">
      <c r="A90" s="203"/>
      <c r="B90" s="204">
        <v>9611</v>
      </c>
      <c r="C90" s="226" t="s">
        <v>99</v>
      </c>
      <c r="D90" s="172">
        <f>'CC borrador'!F27</f>
        <v>1300</v>
      </c>
      <c r="E90" s="172"/>
      <c r="F90" s="172"/>
    </row>
    <row r="91" spans="1:6" x14ac:dyDescent="0.2">
      <c r="A91" s="203"/>
      <c r="B91" s="204">
        <v>9612</v>
      </c>
      <c r="C91" s="226" t="s">
        <v>82</v>
      </c>
      <c r="D91" s="172">
        <f>'CC borrador'!F28</f>
        <v>18500</v>
      </c>
      <c r="E91" s="172"/>
      <c r="F91" s="172"/>
    </row>
    <row r="92" spans="1:6" x14ac:dyDescent="0.2">
      <c r="A92" s="203"/>
      <c r="B92" s="204">
        <v>9613</v>
      </c>
      <c r="C92" s="226" t="s">
        <v>34</v>
      </c>
      <c r="D92" s="172">
        <f>'CC borrador'!F29</f>
        <v>14100</v>
      </c>
      <c r="E92" s="172"/>
      <c r="F92" s="172"/>
    </row>
    <row r="93" spans="1:6" x14ac:dyDescent="0.2">
      <c r="A93" s="203"/>
      <c r="B93" s="204">
        <v>9614</v>
      </c>
      <c r="C93" s="226" t="s">
        <v>165</v>
      </c>
      <c r="D93" s="172">
        <f>'CC borrador'!F31</f>
        <v>11800</v>
      </c>
      <c r="E93" s="172"/>
      <c r="F93" s="172"/>
    </row>
    <row r="94" spans="1:6" x14ac:dyDescent="0.2">
      <c r="A94" s="203"/>
      <c r="B94" s="204">
        <v>9615</v>
      </c>
      <c r="C94" s="226" t="s">
        <v>100</v>
      </c>
      <c r="D94" s="172">
        <f>'CC borrador'!F32</f>
        <v>22000</v>
      </c>
      <c r="E94" s="172"/>
      <c r="F94" s="172"/>
    </row>
    <row r="95" spans="1:6" x14ac:dyDescent="0.2">
      <c r="A95" s="203"/>
      <c r="B95" s="204">
        <v>9616</v>
      </c>
      <c r="C95" s="226" t="s">
        <v>36</v>
      </c>
      <c r="D95" s="172">
        <f>'CC borrador'!F33</f>
        <v>431500</v>
      </c>
      <c r="E95" s="172"/>
      <c r="F95" s="172"/>
    </row>
    <row r="96" spans="1:6" x14ac:dyDescent="0.2">
      <c r="A96" s="203">
        <v>91</v>
      </c>
      <c r="B96" s="204"/>
      <c r="C96" s="206" t="s">
        <v>8</v>
      </c>
      <c r="D96" s="172"/>
      <c r="E96" s="172"/>
      <c r="F96" s="172">
        <f>SUM(D97:D115)</f>
        <v>295781762.16363633</v>
      </c>
    </row>
    <row r="97" spans="1:6" x14ac:dyDescent="0.2">
      <c r="A97" s="203"/>
      <c r="B97" s="204">
        <v>9101</v>
      </c>
      <c r="C97" s="173" t="str">
        <f>C15</f>
        <v>Materias primas</v>
      </c>
      <c r="D97" s="172">
        <f>D15</f>
        <v>171667800</v>
      </c>
      <c r="E97" s="172"/>
      <c r="F97" s="172"/>
    </row>
    <row r="98" spans="1:6" x14ac:dyDescent="0.2">
      <c r="A98" s="203"/>
      <c r="B98" s="204">
        <v>9102</v>
      </c>
      <c r="C98" s="173" t="str">
        <f t="shared" ref="C98:D113" si="0">C16</f>
        <v>Materiales Aux., Sum. y Repuestos</v>
      </c>
      <c r="D98" s="172">
        <f t="shared" si="0"/>
        <v>1782000</v>
      </c>
      <c r="E98" s="172"/>
      <c r="F98" s="172"/>
    </row>
    <row r="99" spans="1:6" x14ac:dyDescent="0.2">
      <c r="A99" s="203"/>
      <c r="B99" s="204">
        <v>9103</v>
      </c>
      <c r="C99" s="173" t="str">
        <f t="shared" si="0"/>
        <v>Sueldos</v>
      </c>
      <c r="D99" s="172">
        <f t="shared" si="0"/>
        <v>524000</v>
      </c>
      <c r="E99" s="172"/>
      <c r="F99" s="172"/>
    </row>
    <row r="100" spans="1:6" x14ac:dyDescent="0.2">
      <c r="A100" s="203"/>
      <c r="B100" s="204">
        <v>9104</v>
      </c>
      <c r="C100" s="173" t="str">
        <f t="shared" si="0"/>
        <v>Salarios</v>
      </c>
      <c r="D100" s="172">
        <f t="shared" si="0"/>
        <v>3574300</v>
      </c>
      <c r="E100" s="172"/>
      <c r="F100" s="172"/>
    </row>
    <row r="101" spans="1:6" x14ac:dyDescent="0.2">
      <c r="A101" s="203"/>
      <c r="B101" s="204">
        <v>9105</v>
      </c>
      <c r="C101" s="173" t="str">
        <f t="shared" si="0"/>
        <v>Vacaciones</v>
      </c>
      <c r="D101" s="172">
        <f t="shared" si="0"/>
        <v>372572.72727272729</v>
      </c>
      <c r="E101" s="172"/>
      <c r="F101" s="172"/>
    </row>
    <row r="102" spans="1:6" x14ac:dyDescent="0.2">
      <c r="A102" s="203"/>
      <c r="B102" s="204">
        <v>9106</v>
      </c>
      <c r="C102" s="173" t="str">
        <f t="shared" si="0"/>
        <v>Seguridad y previsión social</v>
      </c>
      <c r="D102" s="172">
        <f t="shared" si="0"/>
        <v>462816.70909090911</v>
      </c>
      <c r="E102" s="172"/>
      <c r="F102" s="172"/>
    </row>
    <row r="103" spans="1:6" x14ac:dyDescent="0.2">
      <c r="A103" s="203"/>
      <c r="B103" s="204">
        <v>9107</v>
      </c>
      <c r="C103" s="173" t="str">
        <f t="shared" si="0"/>
        <v>CTS</v>
      </c>
      <c r="D103" s="172">
        <f t="shared" si="0"/>
        <v>372572.72727272729</v>
      </c>
      <c r="E103" s="172"/>
      <c r="F103" s="172"/>
    </row>
    <row r="104" spans="1:6" x14ac:dyDescent="0.2">
      <c r="A104" s="203"/>
      <c r="B104" s="204">
        <v>9108</v>
      </c>
      <c r="C104" s="173" t="str">
        <f t="shared" si="0"/>
        <v>Transporte</v>
      </c>
      <c r="D104" s="172">
        <f t="shared" si="0"/>
        <v>250000</v>
      </c>
      <c r="E104" s="172"/>
      <c r="F104" s="172"/>
    </row>
    <row r="105" spans="1:6" x14ac:dyDescent="0.2">
      <c r="A105" s="203"/>
      <c r="B105" s="204">
        <v>9109</v>
      </c>
      <c r="C105" s="173" t="str">
        <f t="shared" si="0"/>
        <v>Teléfono</v>
      </c>
      <c r="D105" s="172">
        <f t="shared" si="0"/>
        <v>32500</v>
      </c>
      <c r="E105" s="172"/>
      <c r="F105" s="172"/>
    </row>
    <row r="106" spans="1:6" x14ac:dyDescent="0.2">
      <c r="A106" s="203"/>
      <c r="B106" s="204">
        <v>9110</v>
      </c>
      <c r="C106" s="173" t="str">
        <f t="shared" si="0"/>
        <v>Mantenimiento y reparaciones</v>
      </c>
      <c r="D106" s="172">
        <f t="shared" si="0"/>
        <v>94000</v>
      </c>
      <c r="E106" s="172"/>
      <c r="F106" s="172"/>
    </row>
    <row r="107" spans="1:6" x14ac:dyDescent="0.2">
      <c r="A107" s="203"/>
      <c r="B107" s="204">
        <v>9111</v>
      </c>
      <c r="C107" s="173" t="str">
        <f t="shared" si="0"/>
        <v>Alquileres</v>
      </c>
      <c r="D107" s="172">
        <f t="shared" si="0"/>
        <v>90000</v>
      </c>
      <c r="E107" s="172"/>
      <c r="F107" s="172"/>
    </row>
    <row r="108" spans="1:6" x14ac:dyDescent="0.2">
      <c r="A108" s="203"/>
      <c r="B108" s="204">
        <v>9112</v>
      </c>
      <c r="C108" s="173" t="str">
        <f t="shared" si="0"/>
        <v>Agua</v>
      </c>
      <c r="D108" s="172">
        <f t="shared" si="0"/>
        <v>45000</v>
      </c>
      <c r="E108" s="172"/>
      <c r="F108" s="172"/>
    </row>
    <row r="109" spans="1:6" x14ac:dyDescent="0.2">
      <c r="A109" s="203"/>
      <c r="B109" s="204">
        <v>9113</v>
      </c>
      <c r="C109" s="173" t="str">
        <f t="shared" si="0"/>
        <v>Gastos bancarios</v>
      </c>
      <c r="D109" s="172">
        <f t="shared" si="0"/>
        <v>1300</v>
      </c>
      <c r="E109" s="172"/>
      <c r="F109" s="172"/>
    </row>
    <row r="110" spans="1:6" x14ac:dyDescent="0.2">
      <c r="A110" s="203"/>
      <c r="B110" s="204">
        <v>9114</v>
      </c>
      <c r="C110" s="173" t="str">
        <f t="shared" si="0"/>
        <v>Cánones</v>
      </c>
      <c r="D110" s="172">
        <f t="shared" si="0"/>
        <v>18500</v>
      </c>
      <c r="E110" s="172"/>
      <c r="F110" s="172"/>
    </row>
    <row r="111" spans="1:6" x14ac:dyDescent="0.2">
      <c r="A111" s="203"/>
      <c r="B111" s="204">
        <v>9115</v>
      </c>
      <c r="C111" s="173" t="str">
        <f t="shared" si="0"/>
        <v>Tributos a gobiernos locales</v>
      </c>
      <c r="D111" s="172">
        <f t="shared" si="0"/>
        <v>14100</v>
      </c>
      <c r="E111" s="172"/>
      <c r="F111" s="172"/>
    </row>
    <row r="112" spans="1:6" x14ac:dyDescent="0.2">
      <c r="A112" s="203"/>
      <c r="B112" s="204">
        <v>9116</v>
      </c>
      <c r="C112" s="173" t="str">
        <f t="shared" si="0"/>
        <v>Seguros</v>
      </c>
      <c r="D112" s="172">
        <f t="shared" si="0"/>
        <v>50000</v>
      </c>
      <c r="E112" s="172"/>
      <c r="F112" s="172"/>
    </row>
    <row r="113" spans="1:6" x14ac:dyDescent="0.2">
      <c r="A113" s="203"/>
      <c r="B113" s="204">
        <v>9117</v>
      </c>
      <c r="C113" s="173" t="str">
        <f t="shared" si="0"/>
        <v xml:space="preserve">Suscripciones </v>
      </c>
      <c r="D113" s="172">
        <f t="shared" si="0"/>
        <v>11800</v>
      </c>
      <c r="E113" s="172"/>
      <c r="F113" s="172"/>
    </row>
    <row r="114" spans="1:6" x14ac:dyDescent="0.2">
      <c r="A114" s="203"/>
      <c r="B114" s="204">
        <v>9118</v>
      </c>
      <c r="C114" s="173" t="str">
        <f>C32</f>
        <v xml:space="preserve">Intereses por préstamos y otras oblig. </v>
      </c>
      <c r="D114" s="172">
        <f>D32</f>
        <v>22000</v>
      </c>
      <c r="E114" s="172"/>
      <c r="F114" s="172"/>
    </row>
    <row r="115" spans="1:6" x14ac:dyDescent="0.2">
      <c r="A115" s="203"/>
      <c r="B115" s="204">
        <v>9119</v>
      </c>
      <c r="C115" s="173" t="str">
        <f>C33</f>
        <v>Depreciaciones</v>
      </c>
      <c r="D115" s="172">
        <f>D33</f>
        <v>116396500</v>
      </c>
      <c r="E115" s="172"/>
      <c r="F115" s="172"/>
    </row>
    <row r="116" spans="1:6" x14ac:dyDescent="0.2">
      <c r="A116" s="203"/>
      <c r="B116" s="204"/>
      <c r="C116" s="205">
        <v>5</v>
      </c>
      <c r="D116" s="172"/>
      <c r="E116" s="172"/>
      <c r="F116" s="172"/>
    </row>
    <row r="117" spans="1:6" x14ac:dyDescent="0.2">
      <c r="A117" s="203">
        <v>95</v>
      </c>
      <c r="B117" s="204"/>
      <c r="C117" s="214" t="s">
        <v>9</v>
      </c>
      <c r="D117" s="172"/>
      <c r="E117" s="172">
        <f>SUM(D118:D120)</f>
        <v>294339662.16272724</v>
      </c>
      <c r="F117" s="172"/>
    </row>
    <row r="118" spans="1:6" x14ac:dyDescent="0.2">
      <c r="A118" s="203"/>
      <c r="B118" s="216">
        <v>9501</v>
      </c>
      <c r="C118" s="214" t="s">
        <v>61</v>
      </c>
      <c r="D118" s="172">
        <f>D15</f>
        <v>171667800</v>
      </c>
      <c r="E118" s="172"/>
      <c r="F118" s="172"/>
    </row>
    <row r="119" spans="1:6" x14ac:dyDescent="0.2">
      <c r="A119" s="203"/>
      <c r="B119" s="216">
        <v>9502</v>
      </c>
      <c r="C119" s="214" t="s">
        <v>10</v>
      </c>
      <c r="D119" s="172">
        <f>'CC borrador'!E18</f>
        <v>3000000</v>
      </c>
      <c r="E119" s="172"/>
      <c r="F119" s="172"/>
    </row>
    <row r="120" spans="1:6" x14ac:dyDescent="0.2">
      <c r="A120" s="203"/>
      <c r="B120" s="216">
        <v>9603</v>
      </c>
      <c r="C120" s="214" t="s">
        <v>11</v>
      </c>
      <c r="D120" s="172">
        <f>'CC borrador'!E17+'CC borrador'!E19+'CC borrador'!E20+'CC borrador'!E21+'CC borrador'!E22+'CC borrador'!E24+'CC borrador'!E30+'CC borrador'!E33+'CC borrador'!E35</f>
        <v>119671862.16272727</v>
      </c>
      <c r="E120" s="172"/>
      <c r="F120" s="172"/>
    </row>
    <row r="121" spans="1:6" x14ac:dyDescent="0.2">
      <c r="A121" s="203">
        <v>92</v>
      </c>
      <c r="B121" s="204"/>
      <c r="C121" s="214" t="str">
        <f>C45</f>
        <v>UNIDAD DE DESTILACIÓN PRIMARIA</v>
      </c>
      <c r="D121" s="172"/>
      <c r="E121" s="172"/>
      <c r="F121" s="172">
        <f>SUM(D122:D132)</f>
        <v>212537500.72090906</v>
      </c>
    </row>
    <row r="122" spans="1:6" x14ac:dyDescent="0.2">
      <c r="A122" s="203"/>
      <c r="B122" s="218">
        <v>9201</v>
      </c>
      <c r="C122" s="219" t="s">
        <v>127</v>
      </c>
      <c r="D122" s="208">
        <f>'CC borrador'!G6</f>
        <v>171667800</v>
      </c>
      <c r="E122" s="172"/>
      <c r="F122" s="172"/>
    </row>
    <row r="123" spans="1:6" x14ac:dyDescent="0.2">
      <c r="A123" s="203"/>
      <c r="B123" s="218">
        <v>9202</v>
      </c>
      <c r="C123" s="219" t="s">
        <v>30</v>
      </c>
      <c r="D123" s="208">
        <f>'CC borrador'!G17</f>
        <v>22000</v>
      </c>
      <c r="E123" s="172"/>
      <c r="F123" s="172"/>
    </row>
    <row r="124" spans="1:6" x14ac:dyDescent="0.2">
      <c r="A124" s="203"/>
      <c r="B124" s="218">
        <v>9203</v>
      </c>
      <c r="C124" s="220" t="s">
        <v>0</v>
      </c>
      <c r="D124" s="172">
        <f>'CC borrador'!G18</f>
        <v>1000000</v>
      </c>
      <c r="E124" s="172"/>
      <c r="F124" s="172"/>
    </row>
    <row r="125" spans="1:6" x14ac:dyDescent="0.2">
      <c r="A125" s="203"/>
      <c r="B125" s="218">
        <v>9204</v>
      </c>
      <c r="C125" s="220" t="s">
        <v>1</v>
      </c>
      <c r="D125" s="172">
        <f>'CC borrador'!G19</f>
        <v>92909.090909090912</v>
      </c>
      <c r="E125" s="172"/>
      <c r="F125" s="172"/>
    </row>
    <row r="126" spans="1:6" x14ac:dyDescent="0.2">
      <c r="A126" s="203"/>
      <c r="B126" s="218">
        <v>9205</v>
      </c>
      <c r="C126" s="220" t="s">
        <v>84</v>
      </c>
      <c r="D126" s="172">
        <f>'CC borrador'!G20</f>
        <v>117250.90909090909</v>
      </c>
      <c r="E126" s="172"/>
      <c r="F126" s="172"/>
    </row>
    <row r="127" spans="1:6" x14ac:dyDescent="0.2">
      <c r="A127" s="203"/>
      <c r="B127" s="218">
        <v>9206</v>
      </c>
      <c r="C127" s="220" t="s">
        <v>2</v>
      </c>
      <c r="D127" s="172">
        <f>'CC borrador'!G21</f>
        <v>92909.090909090912</v>
      </c>
      <c r="E127" s="172"/>
      <c r="F127" s="172"/>
    </row>
    <row r="128" spans="1:6" x14ac:dyDescent="0.2">
      <c r="A128" s="203"/>
      <c r="B128" s="218">
        <v>9207</v>
      </c>
      <c r="C128" s="221" t="s">
        <v>95</v>
      </c>
      <c r="D128" s="172">
        <f>'CC borrador'!G22</f>
        <v>22000</v>
      </c>
      <c r="E128" s="172"/>
      <c r="F128" s="172"/>
    </row>
    <row r="129" spans="1:6" x14ac:dyDescent="0.2">
      <c r="A129" s="203"/>
      <c r="B129" s="218">
        <v>9208</v>
      </c>
      <c r="C129" s="220" t="s">
        <v>98</v>
      </c>
      <c r="D129" s="172">
        <f>'CC borrador'!G24</f>
        <v>30000</v>
      </c>
      <c r="E129" s="172"/>
      <c r="F129" s="172"/>
    </row>
    <row r="130" spans="1:6" x14ac:dyDescent="0.2">
      <c r="A130" s="203"/>
      <c r="B130" s="218">
        <v>9209</v>
      </c>
      <c r="C130" s="173" t="s">
        <v>35</v>
      </c>
      <c r="D130" s="172">
        <f>'CC borrador'!G30</f>
        <v>16666.666666666664</v>
      </c>
      <c r="E130" s="172"/>
      <c r="F130" s="172"/>
    </row>
    <row r="131" spans="1:6" x14ac:dyDescent="0.2">
      <c r="A131" s="203"/>
      <c r="B131" s="227">
        <v>9210</v>
      </c>
      <c r="C131" s="228" t="s">
        <v>36</v>
      </c>
      <c r="D131" s="172">
        <f>'CC borrador'!G33</f>
        <v>37953333.333333328</v>
      </c>
      <c r="E131" s="172"/>
      <c r="F131" s="172"/>
    </row>
    <row r="132" spans="1:6" x14ac:dyDescent="0.2">
      <c r="A132" s="203"/>
      <c r="B132" s="218">
        <v>9211</v>
      </c>
      <c r="C132" s="223" t="s">
        <v>78</v>
      </c>
      <c r="D132" s="172">
        <f>'CC borrador'!G35</f>
        <v>1522631.63</v>
      </c>
      <c r="E132" s="172"/>
      <c r="F132" s="172"/>
    </row>
    <row r="133" spans="1:6" x14ac:dyDescent="0.2">
      <c r="A133" s="203">
        <v>93</v>
      </c>
      <c r="B133" s="229"/>
      <c r="C133" s="206" t="str">
        <f t="shared" ref="C133:D148" si="1">C57</f>
        <v>UNIDAD DE DESTILACIÓN AL VACÍO</v>
      </c>
      <c r="D133" s="172"/>
      <c r="E133" s="172"/>
      <c r="F133" s="172">
        <f>SUM(D134:D143)</f>
        <v>36797586.651818179</v>
      </c>
    </row>
    <row r="134" spans="1:6" x14ac:dyDescent="0.2">
      <c r="A134" s="203"/>
      <c r="B134" s="218">
        <f t="shared" ref="B134:B143" si="2">B58</f>
        <v>9301</v>
      </c>
      <c r="C134" s="206" t="str">
        <f t="shared" si="1"/>
        <v>Sueldos</v>
      </c>
      <c r="D134" s="172">
        <f t="shared" si="1"/>
        <v>25000</v>
      </c>
      <c r="E134" s="172"/>
      <c r="F134" s="172"/>
    </row>
    <row r="135" spans="1:6" x14ac:dyDescent="0.2">
      <c r="A135" s="203"/>
      <c r="B135" s="218">
        <f t="shared" si="2"/>
        <v>9302</v>
      </c>
      <c r="C135" s="206" t="str">
        <f t="shared" si="1"/>
        <v>Salarios</v>
      </c>
      <c r="D135" s="172">
        <f t="shared" si="1"/>
        <v>900000</v>
      </c>
      <c r="E135" s="172"/>
      <c r="F135" s="172"/>
    </row>
    <row r="136" spans="1:6" x14ac:dyDescent="0.2">
      <c r="A136" s="203"/>
      <c r="B136" s="218">
        <f t="shared" si="2"/>
        <v>9303</v>
      </c>
      <c r="C136" s="206" t="str">
        <f t="shared" si="1"/>
        <v>Vacaciones</v>
      </c>
      <c r="D136" s="172">
        <f t="shared" si="1"/>
        <v>84090.909090909088</v>
      </c>
      <c r="E136" s="172"/>
      <c r="F136" s="172"/>
    </row>
    <row r="137" spans="1:6" x14ac:dyDescent="0.2">
      <c r="A137" s="203"/>
      <c r="B137" s="218">
        <f t="shared" si="2"/>
        <v>9304</v>
      </c>
      <c r="C137" s="206" t="str">
        <f t="shared" si="1"/>
        <v>Seguridad y previsión social</v>
      </c>
      <c r="D137" s="172">
        <f t="shared" si="1"/>
        <v>106036.36363636366</v>
      </c>
      <c r="E137" s="172"/>
      <c r="F137" s="172"/>
    </row>
    <row r="138" spans="1:6" x14ac:dyDescent="0.2">
      <c r="A138" s="203"/>
      <c r="B138" s="218">
        <f t="shared" si="2"/>
        <v>9305</v>
      </c>
      <c r="C138" s="206" t="str">
        <f t="shared" si="1"/>
        <v>CTS</v>
      </c>
      <c r="D138" s="172">
        <f t="shared" si="1"/>
        <v>84090.909090909088</v>
      </c>
      <c r="E138" s="172"/>
      <c r="F138" s="172"/>
    </row>
    <row r="139" spans="1:6" x14ac:dyDescent="0.2">
      <c r="A139" s="203"/>
      <c r="B139" s="218">
        <f t="shared" si="2"/>
        <v>9306</v>
      </c>
      <c r="C139" s="206" t="str">
        <f t="shared" si="1"/>
        <v>Transporte</v>
      </c>
      <c r="D139" s="172">
        <f t="shared" si="1"/>
        <v>28000</v>
      </c>
      <c r="E139" s="172"/>
      <c r="F139" s="172"/>
    </row>
    <row r="140" spans="1:6" x14ac:dyDescent="0.2">
      <c r="A140" s="203"/>
      <c r="B140" s="218">
        <f t="shared" si="2"/>
        <v>9307</v>
      </c>
      <c r="C140" s="206" t="str">
        <f t="shared" si="1"/>
        <v>Mantenimiento y reparaciones</v>
      </c>
      <c r="D140" s="172">
        <f t="shared" si="1"/>
        <v>27000</v>
      </c>
      <c r="E140" s="172"/>
      <c r="F140" s="172"/>
    </row>
    <row r="141" spans="1:6" x14ac:dyDescent="0.2">
      <c r="A141" s="203"/>
      <c r="B141" s="218">
        <f t="shared" si="2"/>
        <v>9308</v>
      </c>
      <c r="C141" s="206" t="str">
        <f t="shared" si="1"/>
        <v>Seguros</v>
      </c>
      <c r="D141" s="172">
        <f t="shared" si="1"/>
        <v>15000</v>
      </c>
      <c r="E141" s="172"/>
      <c r="F141" s="172"/>
    </row>
    <row r="142" spans="1:6" x14ac:dyDescent="0.2">
      <c r="A142" s="203"/>
      <c r="B142" s="218">
        <f t="shared" si="2"/>
        <v>9309</v>
      </c>
      <c r="C142" s="206" t="str">
        <f t="shared" si="1"/>
        <v>Depreciaciones</v>
      </c>
      <c r="D142" s="172">
        <f t="shared" si="1"/>
        <v>34158000</v>
      </c>
      <c r="E142" s="172"/>
      <c r="F142" s="172"/>
    </row>
    <row r="143" spans="1:6" x14ac:dyDescent="0.2">
      <c r="A143" s="203"/>
      <c r="B143" s="218">
        <f t="shared" si="2"/>
        <v>9310</v>
      </c>
      <c r="C143" s="206" t="str">
        <f t="shared" si="1"/>
        <v>Costo de Servicios</v>
      </c>
      <c r="D143" s="172">
        <f t="shared" si="1"/>
        <v>1370368.47</v>
      </c>
      <c r="E143" s="172"/>
      <c r="F143" s="172"/>
    </row>
    <row r="144" spans="1:6" x14ac:dyDescent="0.2">
      <c r="A144" s="203">
        <v>94</v>
      </c>
      <c r="B144" s="218"/>
      <c r="C144" s="206" t="str">
        <f t="shared" si="1"/>
        <v>UNIDAD DE CRAQUEO CATALÍTICO</v>
      </c>
      <c r="D144" s="172"/>
      <c r="E144" s="172"/>
      <c r="F144" s="172">
        <f>SUM(D145:D154)</f>
        <v>45004574.789999999</v>
      </c>
    </row>
    <row r="145" spans="1:6" x14ac:dyDescent="0.2">
      <c r="A145" s="203"/>
      <c r="B145" s="218">
        <f t="shared" ref="B145:C154" si="3">B69</f>
        <v>9401</v>
      </c>
      <c r="C145" s="206" t="str">
        <f t="shared" si="1"/>
        <v>Sueldos</v>
      </c>
      <c r="D145" s="172">
        <f t="shared" si="1"/>
        <v>36000</v>
      </c>
      <c r="E145" s="172"/>
      <c r="F145" s="172"/>
    </row>
    <row r="146" spans="1:6" x14ac:dyDescent="0.2">
      <c r="A146" s="203"/>
      <c r="B146" s="218">
        <f t="shared" si="3"/>
        <v>9402</v>
      </c>
      <c r="C146" s="206" t="str">
        <f t="shared" si="1"/>
        <v>Salarios</v>
      </c>
      <c r="D146" s="172">
        <f t="shared" si="1"/>
        <v>1100000</v>
      </c>
      <c r="E146" s="172"/>
      <c r="F146" s="172"/>
    </row>
    <row r="147" spans="1:6" x14ac:dyDescent="0.2">
      <c r="A147" s="203"/>
      <c r="B147" s="218">
        <f t="shared" si="3"/>
        <v>9403</v>
      </c>
      <c r="C147" s="206" t="str">
        <f t="shared" si="1"/>
        <v>Vacaciones</v>
      </c>
      <c r="D147" s="172">
        <f t="shared" ref="D147:D154" si="4">D71</f>
        <v>103272.72727272728</v>
      </c>
      <c r="E147" s="172"/>
      <c r="F147" s="172"/>
    </row>
    <row r="148" spans="1:6" x14ac:dyDescent="0.2">
      <c r="A148" s="203"/>
      <c r="B148" s="218">
        <f t="shared" si="3"/>
        <v>9404</v>
      </c>
      <c r="C148" s="206" t="str">
        <f t="shared" si="1"/>
        <v>Seguridad y previsión social</v>
      </c>
      <c r="D148" s="172">
        <f t="shared" si="4"/>
        <v>130134.54545454546</v>
      </c>
      <c r="E148" s="172"/>
      <c r="F148" s="172"/>
    </row>
    <row r="149" spans="1:6" x14ac:dyDescent="0.2">
      <c r="A149" s="203"/>
      <c r="B149" s="218">
        <f t="shared" si="3"/>
        <v>9405</v>
      </c>
      <c r="C149" s="206" t="str">
        <f t="shared" si="3"/>
        <v>CTS</v>
      </c>
      <c r="D149" s="172">
        <f t="shared" si="4"/>
        <v>103272.72727272728</v>
      </c>
      <c r="E149" s="172"/>
      <c r="F149" s="172"/>
    </row>
    <row r="150" spans="1:6" x14ac:dyDescent="0.2">
      <c r="A150" s="203"/>
      <c r="B150" s="218">
        <f t="shared" si="3"/>
        <v>9406</v>
      </c>
      <c r="C150" s="206" t="str">
        <f t="shared" si="3"/>
        <v>Transporte</v>
      </c>
      <c r="D150" s="172">
        <f t="shared" si="4"/>
        <v>57000</v>
      </c>
      <c r="E150" s="172"/>
      <c r="F150" s="172"/>
    </row>
    <row r="151" spans="1:6" x14ac:dyDescent="0.2">
      <c r="A151" s="203"/>
      <c r="B151" s="218">
        <f t="shared" si="3"/>
        <v>9407</v>
      </c>
      <c r="C151" s="206" t="str">
        <f t="shared" si="3"/>
        <v>Mantenimiento y reparaciones</v>
      </c>
      <c r="D151" s="172">
        <f t="shared" si="4"/>
        <v>33000</v>
      </c>
      <c r="E151" s="172"/>
      <c r="F151" s="172"/>
    </row>
    <row r="152" spans="1:6" x14ac:dyDescent="0.2">
      <c r="A152" s="203"/>
      <c r="B152" s="218">
        <f t="shared" si="3"/>
        <v>9408</v>
      </c>
      <c r="C152" s="206" t="str">
        <f t="shared" si="3"/>
        <v>Seguros</v>
      </c>
      <c r="D152" s="172">
        <f t="shared" si="4"/>
        <v>18333.333333333332</v>
      </c>
      <c r="E152" s="172"/>
      <c r="F152" s="172"/>
    </row>
    <row r="153" spans="1:6" x14ac:dyDescent="0.2">
      <c r="A153" s="203"/>
      <c r="B153" s="218">
        <f t="shared" si="3"/>
        <v>9409</v>
      </c>
      <c r="C153" s="206" t="str">
        <f t="shared" si="3"/>
        <v>Depreciaciones</v>
      </c>
      <c r="D153" s="172">
        <f t="shared" si="4"/>
        <v>41748666.666666664</v>
      </c>
      <c r="E153" s="172"/>
      <c r="F153" s="172"/>
    </row>
    <row r="154" spans="1:6" x14ac:dyDescent="0.2">
      <c r="A154" s="203"/>
      <c r="B154" s="218">
        <f t="shared" si="3"/>
        <v>9410</v>
      </c>
      <c r="C154" s="206" t="str">
        <f t="shared" si="3"/>
        <v>Costo de Servicios</v>
      </c>
      <c r="D154" s="172">
        <f t="shared" si="4"/>
        <v>1674894.79</v>
      </c>
      <c r="E154" s="172"/>
      <c r="F154" s="172"/>
    </row>
    <row r="155" spans="1:6" x14ac:dyDescent="0.2">
      <c r="A155" s="203"/>
      <c r="B155" s="204"/>
      <c r="C155" s="205">
        <v>6</v>
      </c>
      <c r="D155" s="172"/>
      <c r="E155" s="172"/>
      <c r="F155" s="172"/>
    </row>
    <row r="156" spans="1:6" x14ac:dyDescent="0.2">
      <c r="A156" s="203">
        <v>97</v>
      </c>
      <c r="B156" s="204"/>
      <c r="C156" s="214" t="s">
        <v>3</v>
      </c>
      <c r="D156" s="172"/>
      <c r="E156" s="172">
        <f>D157</f>
        <v>294339662.16272724</v>
      </c>
      <c r="F156" s="172"/>
    </row>
    <row r="157" spans="1:6" x14ac:dyDescent="0.2">
      <c r="A157" s="203"/>
      <c r="B157" s="204">
        <v>9701</v>
      </c>
      <c r="C157" s="214" t="s">
        <v>12</v>
      </c>
      <c r="D157" s="172">
        <f>E117</f>
        <v>294339662.16272724</v>
      </c>
      <c r="E157" s="172"/>
      <c r="F157" s="172"/>
    </row>
    <row r="158" spans="1:6" x14ac:dyDescent="0.2">
      <c r="A158" s="203">
        <v>95</v>
      </c>
      <c r="B158" s="204"/>
      <c r="C158" s="217" t="s">
        <v>13</v>
      </c>
      <c r="D158" s="172"/>
      <c r="E158" s="172"/>
      <c r="F158" s="172">
        <f>SUM(D159:D161)</f>
        <v>294339662.16272724</v>
      </c>
    </row>
    <row r="159" spans="1:6" x14ac:dyDescent="0.2">
      <c r="A159" s="203"/>
      <c r="B159" s="216">
        <v>9501</v>
      </c>
      <c r="C159" s="214" t="s">
        <v>61</v>
      </c>
      <c r="D159" s="172">
        <f>D118</f>
        <v>171667800</v>
      </c>
      <c r="E159" s="172"/>
      <c r="F159" s="172"/>
    </row>
    <row r="160" spans="1:6" x14ac:dyDescent="0.2">
      <c r="A160" s="203"/>
      <c r="B160" s="216">
        <v>9502</v>
      </c>
      <c r="C160" s="214" t="s">
        <v>10</v>
      </c>
      <c r="D160" s="172">
        <f>D119</f>
        <v>3000000</v>
      </c>
      <c r="E160" s="172"/>
      <c r="F160" s="172"/>
    </row>
    <row r="161" spans="1:6" x14ac:dyDescent="0.2">
      <c r="A161" s="203"/>
      <c r="B161" s="216">
        <v>9503</v>
      </c>
      <c r="C161" s="214" t="s">
        <v>11</v>
      </c>
      <c r="D161" s="172">
        <f>D120</f>
        <v>119671862.16272727</v>
      </c>
      <c r="E161" s="172"/>
      <c r="F161" s="172"/>
    </row>
    <row r="162" spans="1:6" x14ac:dyDescent="0.2">
      <c r="A162" s="203"/>
      <c r="B162" s="210"/>
      <c r="C162" s="230">
        <v>7</v>
      </c>
      <c r="D162" s="172"/>
      <c r="E162" s="172"/>
      <c r="F162" s="172"/>
    </row>
    <row r="163" spans="1:6" x14ac:dyDescent="0.2">
      <c r="A163" s="203">
        <f>A156</f>
        <v>97</v>
      </c>
      <c r="B163" s="231"/>
      <c r="C163" s="232" t="str">
        <f>C156</f>
        <v>INVENTARIO PERMANENTE</v>
      </c>
      <c r="D163" s="172"/>
      <c r="E163" s="172">
        <f>D164</f>
        <v>294339662.16272724</v>
      </c>
      <c r="F163" s="172"/>
    </row>
    <row r="164" spans="1:6" x14ac:dyDescent="0.2">
      <c r="A164" s="203"/>
      <c r="B164" s="213">
        <v>9704</v>
      </c>
      <c r="C164" s="233" t="s">
        <v>14</v>
      </c>
      <c r="D164" s="172">
        <f>E156</f>
        <v>294339662.16272724</v>
      </c>
      <c r="E164" s="172"/>
      <c r="F164" s="172"/>
    </row>
    <row r="165" spans="1:6" x14ac:dyDescent="0.2">
      <c r="A165" s="203">
        <f>A163</f>
        <v>97</v>
      </c>
      <c r="B165" s="231"/>
      <c r="C165" s="232" t="str">
        <f>C163</f>
        <v>INVENTARIO PERMANENTE</v>
      </c>
      <c r="D165" s="172"/>
      <c r="E165" s="172"/>
      <c r="F165" s="172">
        <f>D166</f>
        <v>294339662.16272724</v>
      </c>
    </row>
    <row r="166" spans="1:6" x14ac:dyDescent="0.2">
      <c r="A166" s="203"/>
      <c r="B166" s="234">
        <v>9701</v>
      </c>
      <c r="C166" s="235" t="s">
        <v>15</v>
      </c>
      <c r="D166" s="172">
        <f>D164</f>
        <v>294339662.16272724</v>
      </c>
      <c r="E166" s="172"/>
      <c r="F166" s="172"/>
    </row>
    <row r="167" spans="1:6" x14ac:dyDescent="0.2">
      <c r="A167" s="203"/>
      <c r="B167" s="204"/>
      <c r="C167" s="205">
        <v>8</v>
      </c>
      <c r="D167" s="172"/>
      <c r="E167" s="172"/>
      <c r="F167" s="172"/>
    </row>
    <row r="168" spans="1:6" x14ac:dyDescent="0.2">
      <c r="A168" s="203">
        <v>90</v>
      </c>
      <c r="B168" s="204"/>
      <c r="C168" s="214" t="s">
        <v>16</v>
      </c>
      <c r="D168" s="172"/>
      <c r="E168" s="172">
        <f>D169</f>
        <v>357641000</v>
      </c>
      <c r="F168" s="172"/>
    </row>
    <row r="169" spans="1:6" x14ac:dyDescent="0.2">
      <c r="A169" s="203"/>
      <c r="B169" s="204">
        <v>9009</v>
      </c>
      <c r="C169" s="214" t="s">
        <v>17</v>
      </c>
      <c r="D169" s="172">
        <v>357641000</v>
      </c>
      <c r="E169" s="172"/>
      <c r="F169" s="172"/>
    </row>
    <row r="170" spans="1:6" x14ac:dyDescent="0.2">
      <c r="A170" s="203">
        <v>98</v>
      </c>
      <c r="B170" s="204"/>
      <c r="C170" s="214" t="s">
        <v>18</v>
      </c>
      <c r="D170" s="172"/>
      <c r="E170" s="172"/>
      <c r="F170" s="172">
        <f>E168</f>
        <v>357641000</v>
      </c>
    </row>
    <row r="171" spans="1:6" x14ac:dyDescent="0.2">
      <c r="A171" s="203"/>
      <c r="B171" s="204"/>
      <c r="C171" s="205">
        <v>9</v>
      </c>
      <c r="D171" s="172"/>
      <c r="E171" s="172"/>
      <c r="F171" s="172"/>
    </row>
    <row r="172" spans="1:6" x14ac:dyDescent="0.2">
      <c r="A172" s="203">
        <v>98</v>
      </c>
      <c r="B172" s="204"/>
      <c r="C172" s="214" t="s">
        <v>19</v>
      </c>
      <c r="D172" s="172"/>
      <c r="E172" s="172">
        <f>SUM(F173:F175)</f>
        <v>295781762.16272724</v>
      </c>
      <c r="F172" s="172"/>
    </row>
    <row r="173" spans="1:6" x14ac:dyDescent="0.2">
      <c r="A173" s="203">
        <v>97</v>
      </c>
      <c r="B173" s="204"/>
      <c r="C173" s="214" t="s">
        <v>6</v>
      </c>
      <c r="D173" s="172"/>
      <c r="E173" s="172"/>
      <c r="F173" s="172">
        <f>E163</f>
        <v>294339662.16272724</v>
      </c>
    </row>
    <row r="174" spans="1:6" x14ac:dyDescent="0.2">
      <c r="A174" s="203"/>
      <c r="B174" s="204">
        <v>9704</v>
      </c>
      <c r="C174" s="214" t="s">
        <v>20</v>
      </c>
      <c r="D174" s="172">
        <f>F173</f>
        <v>294339662.16272724</v>
      </c>
      <c r="E174" s="172"/>
      <c r="F174" s="172"/>
    </row>
    <row r="175" spans="1:6" x14ac:dyDescent="0.2">
      <c r="A175" s="203">
        <v>96</v>
      </c>
      <c r="B175" s="210"/>
      <c r="C175" s="236" t="s">
        <v>21</v>
      </c>
      <c r="D175" s="172"/>
      <c r="E175" s="172"/>
      <c r="F175" s="172">
        <f>E79</f>
        <v>1442100</v>
      </c>
    </row>
    <row r="176" spans="1:6" x14ac:dyDescent="0.2">
      <c r="A176" s="203"/>
      <c r="B176" s="204">
        <f>B80</f>
        <v>9601</v>
      </c>
      <c r="C176" s="237" t="str">
        <f>C80</f>
        <v>Materiales Aux., Sum. y Repuestos</v>
      </c>
      <c r="D176" s="238">
        <f>D80</f>
        <v>375000</v>
      </c>
      <c r="E176" s="172"/>
      <c r="F176" s="172"/>
    </row>
    <row r="177" spans="1:6" x14ac:dyDescent="0.2">
      <c r="A177" s="203"/>
      <c r="B177" s="213">
        <f t="shared" ref="B177:D190" si="5">B81</f>
        <v>9602</v>
      </c>
      <c r="C177" s="239" t="str">
        <f t="shared" si="5"/>
        <v>Sueldos</v>
      </c>
      <c r="D177" s="240">
        <f t="shared" si="5"/>
        <v>330000</v>
      </c>
      <c r="E177" s="172"/>
      <c r="F177" s="172"/>
    </row>
    <row r="178" spans="1:6" x14ac:dyDescent="0.2">
      <c r="A178" s="203"/>
      <c r="B178" s="204">
        <f t="shared" si="5"/>
        <v>9603</v>
      </c>
      <c r="C178" s="237" t="str">
        <f t="shared" si="5"/>
        <v>Vacaciones</v>
      </c>
      <c r="D178" s="238">
        <f t="shared" si="5"/>
        <v>30000</v>
      </c>
      <c r="E178" s="172"/>
      <c r="F178" s="172"/>
    </row>
    <row r="179" spans="1:6" x14ac:dyDescent="0.2">
      <c r="A179" s="203"/>
      <c r="B179" s="213">
        <f t="shared" si="5"/>
        <v>9604</v>
      </c>
      <c r="C179" s="239" t="str">
        <f t="shared" si="5"/>
        <v>Seguridad y previsión social</v>
      </c>
      <c r="D179" s="241">
        <f t="shared" si="5"/>
        <v>32400</v>
      </c>
      <c r="E179" s="172"/>
      <c r="F179" s="172"/>
    </row>
    <row r="180" spans="1:6" x14ac:dyDescent="0.2">
      <c r="A180" s="203"/>
      <c r="B180" s="204">
        <f t="shared" si="5"/>
        <v>9605</v>
      </c>
      <c r="C180" s="237" t="str">
        <f t="shared" si="5"/>
        <v>CTS</v>
      </c>
      <c r="D180" s="238">
        <f t="shared" si="5"/>
        <v>30000</v>
      </c>
      <c r="E180" s="172"/>
      <c r="F180" s="172"/>
    </row>
    <row r="181" spans="1:6" x14ac:dyDescent="0.2">
      <c r="A181" s="203"/>
      <c r="B181" s="213">
        <f t="shared" si="5"/>
        <v>9606</v>
      </c>
      <c r="C181" s="239" t="str">
        <f t="shared" si="5"/>
        <v>Transporte</v>
      </c>
      <c r="D181" s="241">
        <f t="shared" si="5"/>
        <v>14000</v>
      </c>
      <c r="E181" s="172"/>
      <c r="F181" s="172"/>
    </row>
    <row r="182" spans="1:6" x14ac:dyDescent="0.2">
      <c r="A182" s="203"/>
      <c r="B182" s="204">
        <f t="shared" si="5"/>
        <v>9607</v>
      </c>
      <c r="C182" s="237" t="str">
        <f t="shared" si="5"/>
        <v>Teléfono</v>
      </c>
      <c r="D182" s="238">
        <f t="shared" si="5"/>
        <v>32500</v>
      </c>
      <c r="E182" s="172"/>
      <c r="F182" s="172"/>
    </row>
    <row r="183" spans="1:6" x14ac:dyDescent="0.2">
      <c r="A183" s="203"/>
      <c r="B183" s="213">
        <f t="shared" si="5"/>
        <v>9608</v>
      </c>
      <c r="C183" s="239" t="str">
        <f t="shared" si="5"/>
        <v>Mantenimiento y reparaciones</v>
      </c>
      <c r="D183" s="241">
        <f t="shared" si="5"/>
        <v>4000</v>
      </c>
      <c r="E183" s="172"/>
      <c r="F183" s="172"/>
    </row>
    <row r="184" spans="1:6" x14ac:dyDescent="0.2">
      <c r="A184" s="203"/>
      <c r="B184" s="204">
        <f t="shared" si="5"/>
        <v>9609</v>
      </c>
      <c r="C184" s="237" t="str">
        <f t="shared" si="5"/>
        <v>Alquileres</v>
      </c>
      <c r="D184" s="238">
        <f t="shared" si="5"/>
        <v>90000</v>
      </c>
      <c r="E184" s="172"/>
      <c r="F184" s="172"/>
    </row>
    <row r="185" spans="1:6" x14ac:dyDescent="0.2">
      <c r="A185" s="203"/>
      <c r="B185" s="213">
        <f t="shared" si="5"/>
        <v>9610</v>
      </c>
      <c r="C185" s="239" t="str">
        <f t="shared" si="5"/>
        <v>Agua</v>
      </c>
      <c r="D185" s="242">
        <f t="shared" si="5"/>
        <v>5000</v>
      </c>
      <c r="E185" s="172"/>
      <c r="F185" s="172"/>
    </row>
    <row r="186" spans="1:6" x14ac:dyDescent="0.2">
      <c r="A186" s="203"/>
      <c r="B186" s="204">
        <f t="shared" si="5"/>
        <v>9611</v>
      </c>
      <c r="C186" s="237" t="str">
        <f t="shared" si="5"/>
        <v>Gastos bancarios</v>
      </c>
      <c r="D186" s="238">
        <f t="shared" si="5"/>
        <v>1300</v>
      </c>
      <c r="E186" s="172"/>
      <c r="F186" s="172"/>
    </row>
    <row r="187" spans="1:6" x14ac:dyDescent="0.2">
      <c r="A187" s="203"/>
      <c r="B187" s="213">
        <f t="shared" si="5"/>
        <v>9612</v>
      </c>
      <c r="C187" s="239" t="str">
        <f t="shared" si="5"/>
        <v>Cánones</v>
      </c>
      <c r="D187" s="240">
        <f t="shared" si="5"/>
        <v>18500</v>
      </c>
      <c r="E187" s="172"/>
      <c r="F187" s="172"/>
    </row>
    <row r="188" spans="1:6" x14ac:dyDescent="0.2">
      <c r="A188" s="203"/>
      <c r="B188" s="204">
        <f t="shared" si="5"/>
        <v>9613</v>
      </c>
      <c r="C188" s="237" t="s">
        <v>34</v>
      </c>
      <c r="D188" s="238">
        <f t="shared" si="5"/>
        <v>14100</v>
      </c>
      <c r="E188" s="172"/>
      <c r="F188" s="172"/>
    </row>
    <row r="189" spans="1:6" x14ac:dyDescent="0.2">
      <c r="A189" s="203"/>
      <c r="B189" s="213">
        <f t="shared" si="5"/>
        <v>9614</v>
      </c>
      <c r="C189" s="239" t="s">
        <v>167</v>
      </c>
      <c r="D189" s="241">
        <f t="shared" si="5"/>
        <v>11800</v>
      </c>
      <c r="E189" s="172"/>
      <c r="F189" s="172"/>
    </row>
    <row r="190" spans="1:6" x14ac:dyDescent="0.2">
      <c r="A190" s="203"/>
      <c r="B190" s="204">
        <f t="shared" si="5"/>
        <v>9615</v>
      </c>
      <c r="C190" s="237" t="s">
        <v>100</v>
      </c>
      <c r="D190" s="238">
        <f t="shared" si="5"/>
        <v>22000</v>
      </c>
      <c r="E190" s="172"/>
      <c r="F190" s="172"/>
    </row>
    <row r="191" spans="1:6" x14ac:dyDescent="0.2">
      <c r="A191" s="203"/>
      <c r="B191" s="234">
        <v>9616</v>
      </c>
      <c r="C191" s="243" t="s">
        <v>36</v>
      </c>
      <c r="D191" s="242">
        <v>431500</v>
      </c>
      <c r="E191" s="172"/>
      <c r="F191" s="172"/>
    </row>
    <row r="192" spans="1:6" x14ac:dyDescent="0.2">
      <c r="A192" s="203"/>
      <c r="B192" s="234"/>
      <c r="C192" s="244">
        <v>10</v>
      </c>
      <c r="D192" s="245"/>
      <c r="E192" s="172"/>
      <c r="F192" s="172"/>
    </row>
    <row r="193" spans="1:6" x14ac:dyDescent="0.2">
      <c r="A193" s="203">
        <v>98</v>
      </c>
      <c r="B193" s="204"/>
      <c r="C193" s="246" t="s">
        <v>19</v>
      </c>
      <c r="D193" s="172"/>
      <c r="E193" s="172">
        <f>D195</f>
        <v>61859237.837272763</v>
      </c>
      <c r="F193" s="172"/>
    </row>
    <row r="194" spans="1:6" x14ac:dyDescent="0.2">
      <c r="A194" s="203">
        <v>90</v>
      </c>
      <c r="B194" s="204"/>
      <c r="C194" s="214" t="s">
        <v>16</v>
      </c>
      <c r="D194" s="172"/>
      <c r="E194" s="172"/>
      <c r="F194" s="172">
        <f>D195</f>
        <v>61859237.837272763</v>
      </c>
    </row>
    <row r="195" spans="1:6" x14ac:dyDescent="0.2">
      <c r="A195" s="203"/>
      <c r="B195" s="204">
        <v>9010</v>
      </c>
      <c r="C195" s="214" t="s">
        <v>37</v>
      </c>
      <c r="D195" s="172">
        <f>E168-E172</f>
        <v>61859237.837272763</v>
      </c>
      <c r="E195" s="172"/>
      <c r="F195" s="172"/>
    </row>
    <row r="196" spans="1:6" x14ac:dyDescent="0.2">
      <c r="A196" s="203"/>
      <c r="B196" s="204"/>
      <c r="C196" s="205">
        <v>11</v>
      </c>
      <c r="D196" s="172"/>
      <c r="E196" s="172"/>
      <c r="F196" s="172"/>
    </row>
    <row r="197" spans="1:6" x14ac:dyDescent="0.2">
      <c r="A197" s="203">
        <v>90</v>
      </c>
      <c r="B197" s="204"/>
      <c r="C197" s="246" t="s">
        <v>16</v>
      </c>
      <c r="D197" s="172"/>
      <c r="E197" s="172">
        <v>3000000</v>
      </c>
      <c r="F197" s="172"/>
    </row>
    <row r="198" spans="1:6" x14ac:dyDescent="0.2">
      <c r="A198" s="203"/>
      <c r="B198" s="204">
        <v>9011</v>
      </c>
      <c r="C198" s="246" t="s">
        <v>128</v>
      </c>
      <c r="D198" s="172">
        <v>3000000</v>
      </c>
      <c r="E198" s="172"/>
      <c r="F198" s="172"/>
    </row>
    <row r="199" spans="1:6" x14ac:dyDescent="0.2">
      <c r="A199" s="203">
        <v>97</v>
      </c>
      <c r="B199" s="204"/>
      <c r="C199" s="246" t="s">
        <v>3</v>
      </c>
      <c r="D199" s="172"/>
      <c r="E199" s="172"/>
      <c r="F199" s="172">
        <v>3000000</v>
      </c>
    </row>
    <row r="200" spans="1:6" x14ac:dyDescent="0.2">
      <c r="A200" s="203"/>
      <c r="B200" s="204">
        <v>9701</v>
      </c>
      <c r="C200" s="246" t="s">
        <v>12</v>
      </c>
      <c r="D200" s="172">
        <v>3000000</v>
      </c>
      <c r="E200" s="172"/>
      <c r="F200" s="172"/>
    </row>
    <row r="201" spans="1:6" x14ac:dyDescent="0.2">
      <c r="A201" s="203"/>
      <c r="B201" s="204"/>
      <c r="C201" s="205">
        <v>12</v>
      </c>
      <c r="D201" s="172"/>
      <c r="E201" s="172"/>
      <c r="F201" s="172"/>
    </row>
    <row r="202" spans="1:6" x14ac:dyDescent="0.2">
      <c r="A202" s="203">
        <v>90</v>
      </c>
      <c r="B202" s="204"/>
      <c r="C202" s="206" t="s">
        <v>16</v>
      </c>
      <c r="D202" s="172"/>
      <c r="E202" s="247">
        <f>SUM(D203:D211)</f>
        <v>360641000.00090909</v>
      </c>
      <c r="F202" s="172"/>
    </row>
    <row r="203" spans="1:6" x14ac:dyDescent="0.2">
      <c r="A203" s="203"/>
      <c r="B203" s="204">
        <v>9001</v>
      </c>
      <c r="C203" s="206" t="s">
        <v>152</v>
      </c>
      <c r="D203" s="172">
        <f>D7</f>
        <v>174667800</v>
      </c>
      <c r="E203" s="247"/>
      <c r="F203" s="172"/>
    </row>
    <row r="204" spans="1:6" x14ac:dyDescent="0.2">
      <c r="A204" s="203"/>
      <c r="B204" s="204">
        <v>9002</v>
      </c>
      <c r="C204" s="206" t="str">
        <f>C12</f>
        <v>Compras reflejas</v>
      </c>
      <c r="D204" s="172">
        <f>D12</f>
        <v>1782000</v>
      </c>
      <c r="E204" s="172"/>
      <c r="F204" s="172"/>
    </row>
    <row r="205" spans="1:6" x14ac:dyDescent="0.2">
      <c r="A205" s="203"/>
      <c r="B205" s="204">
        <v>9003</v>
      </c>
      <c r="C205" s="206" t="str">
        <f>C38</f>
        <v>Gastos de personal, directores y gerentes reflejos</v>
      </c>
      <c r="D205" s="172">
        <f>D38</f>
        <v>5306262.163636364</v>
      </c>
      <c r="E205" s="172"/>
      <c r="F205" s="172"/>
    </row>
    <row r="206" spans="1:6" x14ac:dyDescent="0.2">
      <c r="A206" s="203"/>
      <c r="B206" s="204">
        <v>9004</v>
      </c>
      <c r="C206" s="206" t="str">
        <f t="shared" ref="C206:D210" si="6">C39</f>
        <v>Gastos de servicios prestados por terceros reflejos</v>
      </c>
      <c r="D206" s="172">
        <f t="shared" si="6"/>
        <v>512800</v>
      </c>
      <c r="E206" s="172"/>
      <c r="F206" s="172"/>
    </row>
    <row r="207" spans="1:6" x14ac:dyDescent="0.2">
      <c r="A207" s="203"/>
      <c r="B207" s="204">
        <v>9005</v>
      </c>
      <c r="C207" s="206" t="str">
        <f t="shared" si="6"/>
        <v>Gastos por tributos reflejos</v>
      </c>
      <c r="D207" s="172">
        <f t="shared" si="6"/>
        <v>32600</v>
      </c>
      <c r="E207" s="172"/>
      <c r="F207" s="172"/>
    </row>
    <row r="208" spans="1:6" x14ac:dyDescent="0.2">
      <c r="A208" s="203"/>
      <c r="B208" s="204">
        <v>9006</v>
      </c>
      <c r="C208" s="206" t="str">
        <f t="shared" si="6"/>
        <v>Otros gastos de gestión reflejos</v>
      </c>
      <c r="D208" s="172">
        <f t="shared" si="6"/>
        <v>61800</v>
      </c>
      <c r="E208" s="172"/>
      <c r="F208" s="172"/>
    </row>
    <row r="209" spans="1:6" x14ac:dyDescent="0.2">
      <c r="A209" s="203"/>
      <c r="B209" s="204">
        <v>9007</v>
      </c>
      <c r="C209" s="206" t="str">
        <f t="shared" si="6"/>
        <v>Gastos financieros reflejos</v>
      </c>
      <c r="D209" s="172">
        <f t="shared" si="6"/>
        <v>22000</v>
      </c>
      <c r="E209" s="172"/>
      <c r="F209" s="172"/>
    </row>
    <row r="210" spans="1:6" x14ac:dyDescent="0.2">
      <c r="A210" s="203"/>
      <c r="B210" s="204">
        <v>9008</v>
      </c>
      <c r="C210" s="206" t="str">
        <f t="shared" si="6"/>
        <v>Valuación y deterioro de activos y provisiones reflejos</v>
      </c>
      <c r="D210" s="172">
        <f t="shared" si="6"/>
        <v>116396500</v>
      </c>
      <c r="E210" s="172"/>
      <c r="F210" s="172"/>
    </row>
    <row r="211" spans="1:6" x14ac:dyDescent="0.2">
      <c r="A211" s="203"/>
      <c r="B211" s="204">
        <v>9010</v>
      </c>
      <c r="C211" s="206" t="str">
        <f>C195</f>
        <v xml:space="preserve"> Pérdidas y Ganancias reflejas</v>
      </c>
      <c r="D211" s="172">
        <f>D195</f>
        <v>61859237.837272763</v>
      </c>
      <c r="E211" s="172"/>
      <c r="F211" s="172"/>
    </row>
    <row r="212" spans="1:6" x14ac:dyDescent="0.2">
      <c r="A212" s="203">
        <v>90</v>
      </c>
      <c r="B212" s="204"/>
      <c r="C212" s="206" t="s">
        <v>4</v>
      </c>
      <c r="D212" s="172"/>
      <c r="E212" s="172"/>
      <c r="F212" s="172">
        <f>SUM(D213:D214)</f>
        <v>360641000</v>
      </c>
    </row>
    <row r="213" spans="1:6" x14ac:dyDescent="0.2">
      <c r="A213" s="203"/>
      <c r="B213" s="204">
        <v>9009</v>
      </c>
      <c r="C213" s="206" t="s">
        <v>17</v>
      </c>
      <c r="D213" s="172">
        <f>E168</f>
        <v>357641000</v>
      </c>
      <c r="E213" s="172"/>
      <c r="F213" s="172"/>
    </row>
    <row r="214" spans="1:6" x14ac:dyDescent="0.2">
      <c r="A214" s="248"/>
      <c r="B214" s="210">
        <v>9011</v>
      </c>
      <c r="C214" s="207" t="s">
        <v>128</v>
      </c>
      <c r="D214" s="208">
        <f>(E3+E9)-F34</f>
        <v>3000000</v>
      </c>
      <c r="E214" s="172"/>
      <c r="F214" s="172"/>
    </row>
    <row r="215" spans="1:6" x14ac:dyDescent="0.2">
      <c r="A215" s="203"/>
      <c r="B215" s="204"/>
      <c r="C215" s="249"/>
      <c r="D215" s="172"/>
      <c r="E215" s="172"/>
      <c r="F215" s="172"/>
    </row>
  </sheetData>
  <mergeCells count="1">
    <mergeCell ref="A1:F1"/>
  </mergeCells>
  <pageMargins left="0.56000000000000005" right="0.48" top="0.75" bottom="0.75" header="0.54" footer="0.3"/>
  <pageSetup paperSize="9" orientation="portrait" horizontalDpi="120" verticalDpi="144" r:id="rId1"/>
  <headerFooter>
    <oddHeader>&amp;C&amp;"Monotype Corsiva,Normal"CPCC. Yónel Chocano Figueroa.&amp;"Arial,Normal" Docente UNHEVAL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topLeftCell="A4" workbookViewId="0">
      <selection activeCell="AK26" sqref="AK26"/>
    </sheetView>
  </sheetViews>
  <sheetFormatPr baseColWidth="10" defaultRowHeight="12.75" x14ac:dyDescent="0.2"/>
  <sheetData/>
  <pageMargins left="0.70866141732283472" right="0.70866141732283472" top="0.74803149606299213" bottom="0.74803149606299213" header="0.31496062992125984" footer="0.31496062992125984"/>
  <pageSetup paperSize="9" orientation="landscape" horizontalDpi="120" verticalDpi="14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CC borrador</vt:lpstr>
      <vt:lpstr>Diario CAE</vt:lpstr>
      <vt:lpstr>Conversiones</vt:lpstr>
      <vt:lpstr>ACC OK</vt:lpstr>
      <vt:lpstr>Depreciaciones</vt:lpstr>
      <vt:lpstr>Diario OK</vt:lpstr>
      <vt:lpstr>Organigrama</vt:lpstr>
      <vt:lpstr>'CC borrador'!Área_de_impresión</vt:lpstr>
      <vt:lpstr>'Diario CAE'!Área_de_impresión</vt:lpstr>
    </vt:vector>
  </TitlesOfParts>
  <Company>The houze!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Contabilidad Petrolera</dc:title>
  <dc:creator>CPCC. Yónel Chocano Figueroa</dc:creator>
  <cp:lastModifiedBy>Yonel</cp:lastModifiedBy>
  <cp:lastPrinted>2012-11-11T06:24:43Z</cp:lastPrinted>
  <dcterms:created xsi:type="dcterms:W3CDTF">2007-08-24T17:20:02Z</dcterms:created>
  <dcterms:modified xsi:type="dcterms:W3CDTF">2012-11-11T07:43:26Z</dcterms:modified>
  <cp:category>Académica</cp:category>
</cp:coreProperties>
</file>