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155" firstSheet="4" activeTab="6"/>
  </bookViews>
  <sheets>
    <sheet name="operaciones adicionales I" sheetId="2" r:id="rId1"/>
    <sheet name="CAJA" sheetId="3" r:id="rId2"/>
    <sheet name="RESUMEN DE CAJA" sheetId="5" r:id="rId3"/>
    <sheet name="BANCO" sheetId="4" r:id="rId4"/>
    <sheet name="DIARIO" sheetId="1" r:id="rId5"/>
    <sheet name="MAYORIZACION" sheetId="6" r:id="rId6"/>
    <sheet name="ACC" sheetId="8" r:id="rId7"/>
    <sheet name="BALANCE DE COMPROB" sheetId="7" r:id="rId8"/>
  </sheets>
  <definedNames>
    <definedName name="_xlnm._FilterDatabase" localSheetId="4" hidden="1">DIARIO!$G$1:$P$427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13" i="1" l="1"/>
  <c r="R415" i="1"/>
  <c r="R413" i="1"/>
  <c r="Q411" i="1"/>
  <c r="D58" i="8"/>
  <c r="D57" i="8"/>
  <c r="G59" i="8"/>
  <c r="E57" i="8"/>
  <c r="E62" i="8"/>
  <c r="E61" i="8"/>
  <c r="P383" i="1"/>
  <c r="Q382" i="1" s="1"/>
  <c r="R384" i="1"/>
  <c r="R388" i="1"/>
  <c r="R370" i="1"/>
  <c r="R362" i="1"/>
  <c r="R355" i="1"/>
  <c r="R348" i="1"/>
  <c r="R340" i="1"/>
  <c r="R332" i="1"/>
  <c r="P330" i="1"/>
  <c r="O288" i="1"/>
  <c r="O287" i="1"/>
  <c r="O285" i="1"/>
  <c r="R290" i="1"/>
  <c r="O281" i="1"/>
  <c r="O280" i="1"/>
  <c r="O277" i="1"/>
  <c r="O278" i="1"/>
  <c r="O279" i="1"/>
  <c r="O276" i="1"/>
  <c r="O275" i="1"/>
  <c r="O274" i="1"/>
  <c r="O272" i="1"/>
  <c r="O271" i="1"/>
  <c r="O268" i="1"/>
  <c r="O269" i="1"/>
  <c r="O270" i="1"/>
  <c r="O267" i="1"/>
  <c r="O264" i="1"/>
  <c r="O261" i="1"/>
  <c r="O262" i="1"/>
  <c r="O263" i="1"/>
  <c r="O260" i="1"/>
  <c r="O259" i="1"/>
  <c r="O255" i="1"/>
  <c r="O256" i="1"/>
  <c r="O257" i="1"/>
  <c r="O254" i="1"/>
  <c r="O253" i="1"/>
  <c r="O250" i="1"/>
  <c r="O247" i="1"/>
  <c r="O248" i="1"/>
  <c r="O249" i="1"/>
  <c r="O246" i="1"/>
  <c r="O245" i="1"/>
  <c r="O238" i="1"/>
  <c r="O239" i="1"/>
  <c r="O240" i="1"/>
  <c r="O237" i="1"/>
  <c r="O242" i="1"/>
  <c r="O241" i="1"/>
  <c r="O236" i="1"/>
  <c r="Q235" i="1" l="1"/>
  <c r="Q258" i="1"/>
  <c r="N230" i="1"/>
  <c r="O229" i="1" s="1"/>
  <c r="O224" i="1"/>
  <c r="O223" i="1"/>
  <c r="N216" i="1"/>
  <c r="N217" i="1"/>
  <c r="N218" i="1"/>
  <c r="N215" i="1"/>
  <c r="N213" i="1"/>
  <c r="N212" i="1"/>
  <c r="O205" i="1"/>
  <c r="O211" i="1" l="1"/>
  <c r="O214" i="1"/>
  <c r="P222" i="1"/>
  <c r="L42" i="8"/>
  <c r="J42" i="8"/>
  <c r="H42" i="8"/>
  <c r="G42" i="8"/>
  <c r="G38" i="8"/>
  <c r="G39" i="8"/>
  <c r="G40" i="8"/>
  <c r="G37" i="8"/>
  <c r="K34" i="8"/>
  <c r="L25" i="8"/>
  <c r="J25" i="8"/>
  <c r="G25" i="8"/>
  <c r="L24" i="8"/>
  <c r="J24" i="8"/>
  <c r="I23" i="8"/>
  <c r="H23" i="8"/>
  <c r="G23" i="8"/>
  <c r="D29" i="8"/>
  <c r="O206" i="1" s="1"/>
  <c r="E27" i="8"/>
  <c r="O203" i="1" s="1"/>
  <c r="P202" i="1" s="1"/>
  <c r="B83" i="6"/>
  <c r="J28" i="6" l="1"/>
  <c r="G36" i="6"/>
  <c r="E76" i="6"/>
  <c r="H60" i="6"/>
  <c r="H52" i="6"/>
  <c r="E52" i="6"/>
  <c r="H72" i="6"/>
  <c r="G4" i="6"/>
  <c r="K33" i="6"/>
  <c r="A48" i="6"/>
  <c r="G24" i="6"/>
  <c r="A16" i="6"/>
  <c r="J3" i="6"/>
  <c r="G3" i="6"/>
  <c r="D3" i="6"/>
  <c r="A3" i="6"/>
  <c r="P183" i="1" l="1"/>
  <c r="G56" i="6" s="1"/>
  <c r="G60" i="6" s="1"/>
  <c r="O167" i="1"/>
  <c r="P166" i="1" s="1"/>
  <c r="E16" i="6" s="1"/>
  <c r="P134" i="1"/>
  <c r="H3" i="6" s="1"/>
  <c r="O108" i="1"/>
  <c r="Q104" i="1"/>
  <c r="R106" i="1"/>
  <c r="P148" i="1"/>
  <c r="P146" i="1"/>
  <c r="P144" i="1"/>
  <c r="A40" i="6" s="1"/>
  <c r="P143" i="1"/>
  <c r="J33" i="6" s="1"/>
  <c r="P137" i="1"/>
  <c r="P135" i="1"/>
  <c r="K3" i="6" s="1"/>
  <c r="P132" i="1"/>
  <c r="P116" i="1"/>
  <c r="O120" i="1"/>
  <c r="P55" i="1"/>
  <c r="E40" i="6" s="1"/>
  <c r="Q147" i="1" l="1"/>
  <c r="A72" i="6"/>
  <c r="R131" i="1"/>
  <c r="B4" i="6"/>
  <c r="R115" i="1"/>
  <c r="E41" i="6"/>
  <c r="Q119" i="1"/>
  <c r="D4" i="6"/>
  <c r="O192" i="1"/>
  <c r="P191" i="1" s="1"/>
  <c r="R136" i="1"/>
  <c r="H24" i="6"/>
  <c r="Q145" i="1"/>
  <c r="D40" i="6"/>
  <c r="Q182" i="1"/>
  <c r="Q142" i="1"/>
  <c r="R133" i="1"/>
  <c r="P130" i="1"/>
  <c r="E49" i="8"/>
  <c r="K49" i="8" s="1"/>
  <c r="L41" i="8"/>
  <c r="H32" i="6" l="1"/>
  <c r="R190" i="1"/>
  <c r="Q129" i="1"/>
  <c r="D5" i="6"/>
  <c r="E25" i="8"/>
  <c r="E24" i="8"/>
  <c r="E23" i="8"/>
  <c r="E21" i="8"/>
  <c r="E20" i="8"/>
  <c r="E19" i="8"/>
  <c r="E18" i="8"/>
  <c r="E17" i="8"/>
  <c r="E16" i="8"/>
  <c r="E15" i="8"/>
  <c r="E13" i="8"/>
  <c r="E12" i="8"/>
  <c r="E11" i="8"/>
  <c r="E10" i="8"/>
  <c r="K21" i="8" l="1"/>
  <c r="K20" i="8"/>
  <c r="D14" i="8"/>
  <c r="N200" i="1" s="1"/>
  <c r="H36" i="6"/>
  <c r="D17" i="7"/>
  <c r="F17" i="7" s="1"/>
  <c r="C34" i="2"/>
  <c r="E34" i="2" s="1"/>
  <c r="F34" i="2" s="1"/>
  <c r="G34" i="2" s="1"/>
  <c r="O181" i="1" s="1"/>
  <c r="N189" i="1" s="1"/>
  <c r="C33" i="2"/>
  <c r="E33" i="2" s="1"/>
  <c r="F33" i="2" s="1"/>
  <c r="G33" i="2" s="1"/>
  <c r="N180" i="1" s="1"/>
  <c r="E47" i="8" s="1"/>
  <c r="N228" i="1" s="1"/>
  <c r="C32" i="2"/>
  <c r="E32" i="2" s="1"/>
  <c r="F32" i="2" s="1"/>
  <c r="G32" i="2" s="1"/>
  <c r="N179" i="1" s="1"/>
  <c r="P164" i="1"/>
  <c r="O22" i="1"/>
  <c r="N158" i="1" s="1"/>
  <c r="O162" i="1"/>
  <c r="P161" i="1" s="1"/>
  <c r="J48" i="6" s="1"/>
  <c r="N188" i="1" l="1"/>
  <c r="O187" i="1" s="1"/>
  <c r="P186" i="1" s="1"/>
  <c r="K24" i="6" s="1"/>
  <c r="K28" i="6" s="1"/>
  <c r="D14" i="7" s="1"/>
  <c r="F14" i="7" s="1"/>
  <c r="R163" i="1"/>
  <c r="B16" i="6"/>
  <c r="O178" i="1"/>
  <c r="P177" i="1" s="1"/>
  <c r="P176" i="1" s="1"/>
  <c r="F46" i="8"/>
  <c r="O289" i="1" s="1"/>
  <c r="D9" i="8"/>
  <c r="N199" i="1" s="1"/>
  <c r="L47" i="8"/>
  <c r="O282" i="1" s="1"/>
  <c r="Q273" i="1" s="1"/>
  <c r="E29" i="8"/>
  <c r="L31" i="8"/>
  <c r="K31" i="8"/>
  <c r="J31" i="8"/>
  <c r="H31" i="8"/>
  <c r="G31" i="8"/>
  <c r="D22" i="8"/>
  <c r="N201" i="1" s="1"/>
  <c r="K19" i="8"/>
  <c r="K18" i="8"/>
  <c r="K17" i="8"/>
  <c r="K16" i="8"/>
  <c r="K15" i="8"/>
  <c r="I13" i="8"/>
  <c r="I12" i="8"/>
  <c r="I11" i="8"/>
  <c r="I10" i="8"/>
  <c r="O266" i="1" l="1"/>
  <c r="Q265" i="1" s="1"/>
  <c r="O252" i="1"/>
  <c r="Q251" i="1" s="1"/>
  <c r="D45" i="8"/>
  <c r="N227" i="1"/>
  <c r="O226" i="1" s="1"/>
  <c r="P225" i="1" s="1"/>
  <c r="O198" i="1"/>
  <c r="P197" i="1" s="1"/>
  <c r="R185" i="1"/>
  <c r="D72" i="6"/>
  <c r="Q175" i="1"/>
  <c r="L29" i="8"/>
  <c r="L30" i="8" s="1"/>
  <c r="I29" i="8"/>
  <c r="I31" i="8"/>
  <c r="D31" i="8" s="1"/>
  <c r="G29" i="8"/>
  <c r="G30" i="8" s="1"/>
  <c r="K29" i="8"/>
  <c r="K30" i="8" s="1"/>
  <c r="H29" i="8"/>
  <c r="H30" i="8" s="1"/>
  <c r="J29" i="8"/>
  <c r="J30" i="8" s="1"/>
  <c r="E31" i="8" l="1"/>
  <c r="O208" i="1"/>
  <c r="D76" i="6"/>
  <c r="C36" i="7"/>
  <c r="E36" i="7" s="1"/>
  <c r="I30" i="8"/>
  <c r="I53" i="8" s="1"/>
  <c r="R54" i="1" l="1"/>
  <c r="A41" i="7"/>
  <c r="A40" i="7"/>
  <c r="A39" i="7"/>
  <c r="A38" i="7"/>
  <c r="A37" i="7"/>
  <c r="A35" i="7"/>
  <c r="A34" i="7"/>
  <c r="A33" i="7"/>
  <c r="A32" i="7"/>
  <c r="A31" i="7"/>
  <c r="A30" i="7"/>
  <c r="A29" i="7"/>
  <c r="A28" i="7"/>
  <c r="A27" i="7"/>
  <c r="A26" i="7"/>
  <c r="A23" i="7"/>
  <c r="A22" i="7"/>
  <c r="A21" i="7"/>
  <c r="A20" i="7"/>
  <c r="A19" i="7"/>
  <c r="A18" i="7"/>
  <c r="A16" i="7"/>
  <c r="A15" i="7"/>
  <c r="A13" i="7"/>
  <c r="A12" i="7"/>
  <c r="A11" i="7"/>
  <c r="A10" i="7"/>
  <c r="A9" i="7"/>
  <c r="A8" i="7"/>
  <c r="A7" i="7"/>
  <c r="A6" i="7"/>
  <c r="A5" i="7"/>
  <c r="A4" i="7"/>
  <c r="A3" i="7"/>
  <c r="X43" i="7" l="1"/>
  <c r="P43" i="7"/>
  <c r="O43" i="7"/>
  <c r="W43" i="7"/>
  <c r="W44" i="7" l="1"/>
  <c r="P45" i="7"/>
  <c r="O44" i="7"/>
  <c r="Q44" i="7" s="1"/>
  <c r="L43" i="7" l="1"/>
  <c r="K43" i="7"/>
  <c r="O45" i="7"/>
  <c r="N43" i="7" l="1"/>
  <c r="M43" i="7"/>
  <c r="U45" i="7"/>
  <c r="S44" i="7"/>
  <c r="M45" i="7" l="1"/>
  <c r="N44" i="7"/>
  <c r="N45" i="7" s="1"/>
  <c r="V45" i="7"/>
  <c r="D40" i="7" l="1"/>
  <c r="D41" i="7"/>
  <c r="D39" i="7"/>
  <c r="B76" i="6"/>
  <c r="D35" i="7" s="1"/>
  <c r="K68" i="6"/>
  <c r="D34" i="7" s="1"/>
  <c r="D33" i="7"/>
  <c r="E68" i="6"/>
  <c r="D31" i="7" s="1"/>
  <c r="H68" i="6"/>
  <c r="D32" i="7" s="1"/>
  <c r="K60" i="6"/>
  <c r="D29" i="7" s="1"/>
  <c r="B60" i="6"/>
  <c r="D27" i="7" s="1"/>
  <c r="E60" i="6"/>
  <c r="D28" i="7" s="1"/>
  <c r="J44" i="6"/>
  <c r="C22" i="7" s="1"/>
  <c r="B52" i="6"/>
  <c r="D23" i="7" s="1"/>
  <c r="B40" i="6"/>
  <c r="B44" i="6" s="1"/>
  <c r="D19" i="7" s="1"/>
  <c r="K32" i="6"/>
  <c r="G28" i="6"/>
  <c r="C13" i="7" s="1"/>
  <c r="E28" i="6"/>
  <c r="D12" i="7" s="1"/>
  <c r="B28" i="6"/>
  <c r="D11" i="7" s="1"/>
  <c r="J16" i="6"/>
  <c r="J20" i="6" s="1"/>
  <c r="C10" i="7" s="1"/>
  <c r="K20" i="6"/>
  <c r="D10" i="7" s="1"/>
  <c r="J12" i="6"/>
  <c r="C6" i="7" s="1"/>
  <c r="P63" i="1"/>
  <c r="E10" i="7" l="1"/>
  <c r="G16" i="6"/>
  <c r="G20" i="6" s="1"/>
  <c r="C9" i="7" s="1"/>
  <c r="P172" i="1"/>
  <c r="H16" i="6" s="1"/>
  <c r="H20" i="6" s="1"/>
  <c r="D9" i="7" s="1"/>
  <c r="C38" i="7"/>
  <c r="K36" i="6"/>
  <c r="D18" i="7" s="1"/>
  <c r="A52" i="6"/>
  <c r="C23" i="7" s="1"/>
  <c r="E23" i="7" s="1"/>
  <c r="G12" i="6"/>
  <c r="C5" i="7" s="1"/>
  <c r="E9" i="7" l="1"/>
  <c r="R171" i="1"/>
  <c r="L27" i="8"/>
  <c r="L53" i="8" s="1"/>
  <c r="A44" i="6"/>
  <c r="C19" i="7" s="1"/>
  <c r="E19" i="7" s="1"/>
  <c r="I15" i="5" l="1"/>
  <c r="I16" i="5"/>
  <c r="G27" i="2"/>
  <c r="I11" i="5" s="1"/>
  <c r="I10" i="5"/>
  <c r="G25" i="2"/>
  <c r="E8" i="5" s="1"/>
  <c r="I10" i="2"/>
  <c r="L10" i="2" s="1"/>
  <c r="G10" i="2"/>
  <c r="J10" i="2" s="1"/>
  <c r="J52" i="6" l="1"/>
  <c r="C26" i="7" s="1"/>
  <c r="E10" i="5"/>
  <c r="K12" i="6"/>
  <c r="D6" i="7" s="1"/>
  <c r="E6" i="7" s="1"/>
  <c r="E9" i="5"/>
  <c r="H12" i="6"/>
  <c r="D5" i="7" s="1"/>
  <c r="E5" i="7" s="1"/>
  <c r="I13" i="5"/>
  <c r="E11" i="5"/>
  <c r="H76" i="6"/>
  <c r="D37" i="7" s="1"/>
  <c r="I11" i="2"/>
  <c r="H10" i="2"/>
  <c r="K10" i="2" s="1"/>
  <c r="M10" i="2"/>
  <c r="L11" i="2" s="1"/>
  <c r="E13" i="5" l="1"/>
  <c r="I12" i="5" l="1"/>
  <c r="F10" i="3"/>
  <c r="O102" i="1" l="1"/>
  <c r="P101" i="1" s="1"/>
  <c r="B33" i="6" s="1"/>
  <c r="P98" i="1"/>
  <c r="J64" i="6" s="1"/>
  <c r="P92" i="1"/>
  <c r="P90" i="1"/>
  <c r="P88" i="1"/>
  <c r="P85" i="1"/>
  <c r="J56" i="6" s="1"/>
  <c r="I3" i="5"/>
  <c r="G64" i="6" l="1"/>
  <c r="G68" i="6" s="1"/>
  <c r="A64" i="6"/>
  <c r="A68" i="6" s="1"/>
  <c r="D64" i="6"/>
  <c r="D68" i="6" s="1"/>
  <c r="J60" i="6"/>
  <c r="J68" i="6"/>
  <c r="R100" i="1"/>
  <c r="P95" i="1"/>
  <c r="Q84" i="1"/>
  <c r="I13" i="4"/>
  <c r="F7" i="3"/>
  <c r="C30" i="7" l="1"/>
  <c r="D33" i="8"/>
  <c r="K53" i="8" s="1"/>
  <c r="D36" i="8"/>
  <c r="C31" i="7"/>
  <c r="E31" i="7" s="1"/>
  <c r="C32" i="7"/>
  <c r="E32" i="7" s="1"/>
  <c r="D41" i="8"/>
  <c r="H40" i="6"/>
  <c r="H44" i="6" s="1"/>
  <c r="D21" i="7" s="1"/>
  <c r="F21" i="7" s="1"/>
  <c r="C33" i="7"/>
  <c r="E33" i="7" s="1"/>
  <c r="F44" i="8"/>
  <c r="C29" i="7"/>
  <c r="E29" i="7" s="1"/>
  <c r="D32" i="8"/>
  <c r="C34" i="7"/>
  <c r="E34" i="7" s="1"/>
  <c r="D42" i="8"/>
  <c r="R94" i="1"/>
  <c r="P65" i="1"/>
  <c r="K48" i="6" s="1"/>
  <c r="N78" i="1"/>
  <c r="O82" i="1" s="1"/>
  <c r="I7" i="5" s="1"/>
  <c r="N77" i="1"/>
  <c r="O81" i="1" s="1"/>
  <c r="I6" i="5" s="1"/>
  <c r="O72" i="1"/>
  <c r="P71" i="1" s="1"/>
  <c r="P68" i="1"/>
  <c r="A56" i="6" s="1"/>
  <c r="E28" i="8" s="1"/>
  <c r="R59" i="1"/>
  <c r="Q57" i="1"/>
  <c r="E5" i="5" s="1"/>
  <c r="I5" i="5" s="1"/>
  <c r="G11" i="3" s="1"/>
  <c r="O124" i="1" s="1"/>
  <c r="A76" i="6"/>
  <c r="Q52" i="1"/>
  <c r="F41" i="8" l="1"/>
  <c r="O286" i="1" s="1"/>
  <c r="O219" i="1"/>
  <c r="E42" i="8"/>
  <c r="O221" i="1"/>
  <c r="P220" i="1" s="1"/>
  <c r="F32" i="8"/>
  <c r="O284" i="1" s="1"/>
  <c r="O210" i="1"/>
  <c r="D56" i="6"/>
  <c r="D60" i="6" s="1"/>
  <c r="Q123" i="1"/>
  <c r="J32" i="6"/>
  <c r="J36" i="6" s="1"/>
  <c r="C18" i="7" s="1"/>
  <c r="E18" i="7" s="1"/>
  <c r="J53" i="8"/>
  <c r="C35" i="7"/>
  <c r="E35" i="7" s="1"/>
  <c r="F43" i="8"/>
  <c r="B68" i="6"/>
  <c r="D30" i="7" s="1"/>
  <c r="E30" i="7" s="1"/>
  <c r="A60" i="6"/>
  <c r="C27" i="7" s="1"/>
  <c r="E27" i="7" s="1"/>
  <c r="G44" i="6"/>
  <c r="C21" i="7" s="1"/>
  <c r="Q62" i="1"/>
  <c r="B20" i="6"/>
  <c r="D7" i="7" s="1"/>
  <c r="A20" i="6"/>
  <c r="C7" i="7" s="1"/>
  <c r="E12" i="5"/>
  <c r="I28" i="4"/>
  <c r="R64" i="1"/>
  <c r="O76" i="1"/>
  <c r="C16" i="2" s="1"/>
  <c r="D16" i="2" s="1"/>
  <c r="Q67" i="1"/>
  <c r="P80" i="1"/>
  <c r="E32" i="6" s="1"/>
  <c r="O75" i="1"/>
  <c r="Q283" i="1" l="1"/>
  <c r="P209" i="1"/>
  <c r="F53" i="8"/>
  <c r="G53" i="8"/>
  <c r="C28" i="7"/>
  <c r="E28" i="7" s="1"/>
  <c r="D30" i="8"/>
  <c r="E7" i="7"/>
  <c r="C41" i="7"/>
  <c r="E41" i="7" s="1"/>
  <c r="R79" i="1"/>
  <c r="E36" i="6"/>
  <c r="D16" i="7" s="1"/>
  <c r="H28" i="6"/>
  <c r="D13" i="7" s="1"/>
  <c r="E13" i="7" s="1"/>
  <c r="I14" i="5"/>
  <c r="E4" i="5"/>
  <c r="C15" i="2"/>
  <c r="D15" i="2" s="1"/>
  <c r="I9" i="5"/>
  <c r="P74" i="1"/>
  <c r="B32" i="6" s="1"/>
  <c r="R46" i="1"/>
  <c r="D4" i="2" s="1"/>
  <c r="P44" i="1"/>
  <c r="D24" i="6" s="1"/>
  <c r="D28" i="6" s="1"/>
  <c r="C12" i="7" s="1"/>
  <c r="E12" i="7" s="1"/>
  <c r="P41" i="1"/>
  <c r="A24" i="6" s="1"/>
  <c r="A28" i="6" s="1"/>
  <c r="C11" i="7" s="1"/>
  <c r="E11" i="7" s="1"/>
  <c r="O35" i="1"/>
  <c r="N160" i="1" s="1"/>
  <c r="O27" i="1"/>
  <c r="N159" i="1" s="1"/>
  <c r="Q17" i="1"/>
  <c r="O155" i="1" s="1"/>
  <c r="P154" i="1" s="1"/>
  <c r="D6" i="8" s="1"/>
  <c r="P196" i="1" s="1"/>
  <c r="Q14" i="1"/>
  <c r="Q11" i="1"/>
  <c r="E30" i="8" l="1"/>
  <c r="O207" i="1"/>
  <c r="P204" i="1" s="1"/>
  <c r="E7" i="8"/>
  <c r="D48" i="6"/>
  <c r="D53" i="8"/>
  <c r="O157" i="1"/>
  <c r="P156" i="1" s="1"/>
  <c r="P21" i="1"/>
  <c r="D38" i="7"/>
  <c r="F38" i="7" s="1"/>
  <c r="C39" i="7"/>
  <c r="E39" i="7" s="1"/>
  <c r="D44" i="6"/>
  <c r="C20" i="7" s="1"/>
  <c r="E6" i="5"/>
  <c r="G13" i="3"/>
  <c r="J16" i="4"/>
  <c r="R73" i="1"/>
  <c r="B36" i="6"/>
  <c r="D15" i="7" s="1"/>
  <c r="A36" i="6"/>
  <c r="C15" i="7" s="1"/>
  <c r="I4" i="5"/>
  <c r="I8" i="5"/>
  <c r="D17" i="2"/>
  <c r="E22" i="2"/>
  <c r="E28" i="2" s="1"/>
  <c r="Q39" i="1"/>
  <c r="Q97" i="1"/>
  <c r="H7" i="8" l="1"/>
  <c r="O244" i="1" s="1"/>
  <c r="Q243" i="1" s="1"/>
  <c r="P329" i="1"/>
  <c r="P232" i="1"/>
  <c r="R231" i="1" s="1"/>
  <c r="Q195" i="1"/>
  <c r="D52" i="6"/>
  <c r="C24" i="7" s="1"/>
  <c r="E24" i="7" s="1"/>
  <c r="A79" i="6"/>
  <c r="A83" i="6" s="1"/>
  <c r="Q153" i="1"/>
  <c r="G48" i="6"/>
  <c r="G52" i="6" s="1"/>
  <c r="C25" i="7" s="1"/>
  <c r="E25" i="7" s="1"/>
  <c r="F12" i="3"/>
  <c r="F22" i="3" s="1"/>
  <c r="P141" i="1"/>
  <c r="A5" i="6" s="1"/>
  <c r="G22" i="3"/>
  <c r="O122" i="1"/>
  <c r="D32" i="6" s="1"/>
  <c r="E53" i="8"/>
  <c r="F15" i="7"/>
  <c r="E44" i="6"/>
  <c r="D20" i="7" s="1"/>
  <c r="E20" i="7" s="1"/>
  <c r="C40" i="7"/>
  <c r="E40" i="7" s="1"/>
  <c r="K52" i="6"/>
  <c r="D26" i="7" s="1"/>
  <c r="F26" i="7" s="1"/>
  <c r="J28" i="4"/>
  <c r="I30" i="4" s="1"/>
  <c r="E20" i="6"/>
  <c r="D8" i="7" s="1"/>
  <c r="P20" i="1"/>
  <c r="D12" i="6"/>
  <c r="C4" i="7" s="1"/>
  <c r="I17" i="5"/>
  <c r="E7" i="5"/>
  <c r="E17" i="5" s="1"/>
  <c r="H53" i="8" l="1"/>
  <c r="J57" i="8" s="1"/>
  <c r="Q328" i="1"/>
  <c r="P331" i="1" s="1"/>
  <c r="P398" i="1"/>
  <c r="E55" i="8"/>
  <c r="G57" i="8"/>
  <c r="R165" i="1"/>
  <c r="D16" i="6"/>
  <c r="D20" i="6" s="1"/>
  <c r="C8" i="7" s="1"/>
  <c r="E8" i="7" s="1"/>
  <c r="P114" i="1"/>
  <c r="Q140" i="1"/>
  <c r="P150" i="1"/>
  <c r="F24" i="3"/>
  <c r="P126" i="1"/>
  <c r="Q121" i="1"/>
  <c r="G76" i="6"/>
  <c r="C37" i="7" s="1"/>
  <c r="F37" i="7" s="1"/>
  <c r="D36" i="6"/>
  <c r="C16" i="7" s="1"/>
  <c r="E16" i="7" s="1"/>
  <c r="Q19" i="1"/>
  <c r="B4" i="2" s="1"/>
  <c r="B8" i="2" s="1"/>
  <c r="P50" i="1" s="1"/>
  <c r="P400" i="1" l="1"/>
  <c r="R399" i="1" s="1"/>
  <c r="Q397" i="1"/>
  <c r="R125" i="1"/>
  <c r="B3" i="6"/>
  <c r="B12" i="6" s="1"/>
  <c r="D3" i="7" s="1"/>
  <c r="R49" i="1"/>
  <c r="K40" i="6"/>
  <c r="K44" i="6" s="1"/>
  <c r="D22" i="7" s="1"/>
  <c r="F22" i="7" s="1"/>
  <c r="F43" i="7" s="1"/>
  <c r="P112" i="1"/>
  <c r="E3" i="6"/>
  <c r="R149" i="1"/>
  <c r="E4" i="6"/>
  <c r="R113" i="1"/>
  <c r="E12" i="6" l="1"/>
  <c r="D4" i="7" s="1"/>
  <c r="D43" i="7" s="1"/>
  <c r="Q111" i="1"/>
  <c r="Q424" i="1" s="1"/>
  <c r="A4" i="6"/>
  <c r="A12" i="6" s="1"/>
  <c r="C3" i="7" s="1"/>
  <c r="R424" i="1"/>
  <c r="E4" i="7" l="1"/>
  <c r="R425" i="1"/>
  <c r="C43" i="7"/>
  <c r="C45" i="7" s="1"/>
  <c r="E3" i="7"/>
  <c r="E43" i="7" l="1"/>
</calcChain>
</file>

<file path=xl/sharedStrings.xml><?xml version="1.0" encoding="utf-8"?>
<sst xmlns="http://schemas.openxmlformats.org/spreadsheetml/2006/main" count="720" uniqueCount="401">
  <si>
    <t>FORMATO 5.1: "LIBRO DIARIO"</t>
  </si>
  <si>
    <t>PERÍODO:</t>
  </si>
  <si>
    <t>RUC:</t>
  </si>
  <si>
    <t>APELLIDOS Y NOMBRES, DENOMINACIÓN O RAZÓN SOCIAL:</t>
  </si>
  <si>
    <t>CORPORACION LOS CHALANES S.A.C.</t>
  </si>
  <si>
    <t>NÚMERO CORRELATIVO</t>
  </si>
  <si>
    <t xml:space="preserve">       FECHA</t>
  </si>
  <si>
    <t xml:space="preserve">                  GLOSA O</t>
  </si>
  <si>
    <t xml:space="preserve">               REFERENCIA DE LA OPERACIÓN</t>
  </si>
  <si>
    <t>CUENTA CONTABLE ASOCIADA A LA OPERACIÓN</t>
  </si>
  <si>
    <t xml:space="preserve">                 MOVIMIENTO</t>
  </si>
  <si>
    <t xml:space="preserve">         DEL ASIENTO</t>
  </si>
  <si>
    <t xml:space="preserve">        DE LA</t>
  </si>
  <si>
    <t xml:space="preserve">         DESCRIPCIÓN DE</t>
  </si>
  <si>
    <t>CÓDIGO DEL LIBRO</t>
  </si>
  <si>
    <t xml:space="preserve">      NÚMERO</t>
  </si>
  <si>
    <t xml:space="preserve">    NÚMERO DEL</t>
  </si>
  <si>
    <t xml:space="preserve">     O CÓDIGO ÚNICO</t>
  </si>
  <si>
    <t xml:space="preserve">  OPERACIÓN</t>
  </si>
  <si>
    <t xml:space="preserve">          LA OPERACIÓN</t>
  </si>
  <si>
    <t xml:space="preserve">        O REGISTRO</t>
  </si>
  <si>
    <t>CORRELATIVO</t>
  </si>
  <si>
    <t xml:space="preserve">     DOCUMENTO</t>
  </si>
  <si>
    <t xml:space="preserve">    CÓDIGO</t>
  </si>
  <si>
    <t xml:space="preserve">                      DENOMINACIÓN</t>
  </si>
  <si>
    <t xml:space="preserve">           DEBE</t>
  </si>
  <si>
    <t xml:space="preserve">        HABER</t>
  </si>
  <si>
    <t xml:space="preserve">    DE LA OPERACIÓN</t>
  </si>
  <si>
    <t xml:space="preserve">           (TABLA 8)</t>
  </si>
  <si>
    <t>SUSTENTATORIO</t>
  </si>
  <si>
    <t>CAJA</t>
  </si>
  <si>
    <t xml:space="preserve">                        TOTALES</t>
  </si>
  <si>
    <t>EFECTIVO Y QUEVALENTE DE EFECTIVO</t>
  </si>
  <si>
    <t>CUENTAS CORRIENTES EN INSTITUCIONES FINANCIERAS</t>
  </si>
  <si>
    <t>MATERIA PRIMA</t>
  </si>
  <si>
    <t>FACTURAS POR COBRAR</t>
  </si>
  <si>
    <t>LETRAS POR COBRAR</t>
  </si>
  <si>
    <t>CUENTAS POR COBRAR COMERCIALES TERCEROS</t>
  </si>
  <si>
    <t>MATERIA PRIMA PARA PRODUCTOS AGROPECUARIOS</t>
  </si>
  <si>
    <t>MATERIALES AUXILIARES, SUMINISTROS Y REPUESTOS</t>
  </si>
  <si>
    <t>SUMINISTROS</t>
  </si>
  <si>
    <t>OTROS SUMINISTROS</t>
  </si>
  <si>
    <t>FERTILIZANTES</t>
  </si>
  <si>
    <t>NITRATO DE AMONIO</t>
  </si>
  <si>
    <t>FOSFATO DE AMONICO</t>
  </si>
  <si>
    <t>CLORURO DE POTASIO</t>
  </si>
  <si>
    <t>ESTIERCOLE</t>
  </si>
  <si>
    <t>PESTICIDAS</t>
  </si>
  <si>
    <t>CYFLUTHRIM</t>
  </si>
  <si>
    <t>ABONO FOLIAR</t>
  </si>
  <si>
    <t>CARBOFURAN</t>
  </si>
  <si>
    <t>MANCOCEB</t>
  </si>
  <si>
    <t>CARBOXIN</t>
  </si>
  <si>
    <t>PROPINEB CYMOXANIL</t>
  </si>
  <si>
    <t>LISSAPOL</t>
  </si>
  <si>
    <t>SUMINISTROS AGRICOLAS</t>
  </si>
  <si>
    <t>PICO</t>
  </si>
  <si>
    <t>HOCES</t>
  </si>
  <si>
    <t>MACHETES</t>
  </si>
  <si>
    <t>INMUEBLE MAQUINARIA Y EQUIPO</t>
  </si>
  <si>
    <t>TERRENOS</t>
  </si>
  <si>
    <t>EDIFICACIONES</t>
  </si>
  <si>
    <t>ADMINISTRATIVOS</t>
  </si>
  <si>
    <t>ALMACENES</t>
  </si>
  <si>
    <t>HERRAMIENTAS Y UNIDADES DE REMPLAZO</t>
  </si>
  <si>
    <t>UNIDADES DE REMPLAZO</t>
  </si>
  <si>
    <t>CUENTAS POR ´PAGAR COMERCIAL TERCEROS</t>
  </si>
  <si>
    <t>FACTURAS POR PAGAR</t>
  </si>
  <si>
    <t>LETRAS POR PAGAR</t>
  </si>
  <si>
    <t xml:space="preserve">CAPITAL </t>
  </si>
  <si>
    <t>CAPITAL PERSONAL</t>
  </si>
  <si>
    <t>DEDUCCION DEL CAPITAL PERSONAL</t>
  </si>
  <si>
    <t>ACTIVOS</t>
  </si>
  <si>
    <t>PASIVOS</t>
  </si>
  <si>
    <t xml:space="preserve">NÚMERO CORRELATIVO DEL REGISTRO  </t>
  </si>
  <si>
    <t xml:space="preserve">  CUENTA CONTABLE ASOCIADA</t>
  </si>
  <si>
    <t xml:space="preserve">         SALDOS Y MOVIMIENTOS</t>
  </si>
  <si>
    <t xml:space="preserve">      CÓDIGO</t>
  </si>
  <si>
    <t xml:space="preserve"> DENOMINACIÓN</t>
  </si>
  <si>
    <t xml:space="preserve">         DEUDOR</t>
  </si>
  <si>
    <t xml:space="preserve">     ACREEDOR</t>
  </si>
  <si>
    <t xml:space="preserve">     TOTALES</t>
  </si>
  <si>
    <t xml:space="preserve">     FECHA DE OPERACIÓN </t>
  </si>
  <si>
    <t xml:space="preserve">     DESCRIPCIÓN DE LA OPERACIÓN</t>
  </si>
  <si>
    <t>CUENTA CORRIENTE</t>
  </si>
  <si>
    <t>2</t>
  </si>
  <si>
    <t>POR EL INVENTARIO INICIAL</t>
  </si>
  <si>
    <t>ACTIVO DIFERIDO</t>
  </si>
  <si>
    <t>INTERES DIFERIDOS</t>
  </si>
  <si>
    <t>OBLIGACIONES FINANCIERAS</t>
  </si>
  <si>
    <t>PRESTAMOS DE INSTITUCIONES FINANCIERAS</t>
  </si>
  <si>
    <t>GASTOS FINANCIEROS</t>
  </si>
  <si>
    <t>3</t>
  </si>
  <si>
    <t>COMPRAS</t>
  </si>
  <si>
    <t>EMVASES Y EMBALAJES</t>
  </si>
  <si>
    <t>CUENTAS POR PAGAR COMERCIALES TERCEROS</t>
  </si>
  <si>
    <t>ASIENTO DE COMPROMISO POR LA COMPRA</t>
  </si>
  <si>
    <t>DE POLIETILENO</t>
  </si>
  <si>
    <t>4</t>
  </si>
  <si>
    <t>GASTOS DE PERSONAL, DIRECTORES Y GERENTES</t>
  </si>
  <si>
    <t>REMUNERACIONES</t>
  </si>
  <si>
    <t>SUELDOS Y SALARIOS</t>
  </si>
  <si>
    <t>VACACIONES</t>
  </si>
  <si>
    <t>SEGURIDDAD, PREVISION SOCIAL Y OTRAS CONTRIBUCIONES</t>
  </si>
  <si>
    <t>REGIMEN DE PRESTACIONES DE SALUD</t>
  </si>
  <si>
    <t>TRIBUTOS POR PAGAR</t>
  </si>
  <si>
    <t>INTITUCIONES PUBLICAS</t>
  </si>
  <si>
    <t>ESSALUD</t>
  </si>
  <si>
    <t>ONP</t>
  </si>
  <si>
    <t>REMUNERACIONES POR PAGAR</t>
  </si>
  <si>
    <t>SUELDOS Y SALARIOS POR APGAR</t>
  </si>
  <si>
    <t>VACACIONES POR PAGAR</t>
  </si>
  <si>
    <t>REMUNERACIONES Y PARTICIPACIONES POR PAGAR</t>
  </si>
  <si>
    <t>ONP VACACIONES</t>
  </si>
  <si>
    <t xml:space="preserve">ONP SALARIOS                </t>
  </si>
  <si>
    <t>5</t>
  </si>
  <si>
    <t>ENVASES Y EMBALAJES</t>
  </si>
  <si>
    <t>VARIACION DE EXISTENCIAS</t>
  </si>
  <si>
    <t>POR LA RECEPCION DE LOS EMBALAJES</t>
  </si>
  <si>
    <t>POR EL ASIENTO DE COMPROMISO DE PLANILLA</t>
  </si>
  <si>
    <t>101</t>
  </si>
  <si>
    <t>saldo inicial</t>
  </si>
  <si>
    <t xml:space="preserve">cuenta corriente </t>
  </si>
  <si>
    <t>FORMATO 1.2: "LIBRO CAJA Y BANCOS - DETALLE DE LOS MOVIMIENTOS DE LA CUENTA CORRIENTE"</t>
  </si>
  <si>
    <t>ENTIDAD FINANCIERA:</t>
  </si>
  <si>
    <t>CÓDIGO DE LA CUENTA CORRIENTE:</t>
  </si>
  <si>
    <t xml:space="preserve">   NÚMERO CORRELATIVO</t>
  </si>
  <si>
    <t xml:space="preserve">                                     OPERACIONES BANCARIAS</t>
  </si>
  <si>
    <t xml:space="preserve"> CUENTA CONTABLE ASOCIADA</t>
  </si>
  <si>
    <t xml:space="preserve"> DEL REGISTRO  O CÓDIGO</t>
  </si>
  <si>
    <t xml:space="preserve">  ÚNICO DE LA OPERACIÓN</t>
  </si>
  <si>
    <t xml:space="preserve">    (TABLA 1)</t>
  </si>
  <si>
    <t xml:space="preserve">   DENOMINACIÓN</t>
  </si>
  <si>
    <t xml:space="preserve">    TOTALES</t>
  </si>
  <si>
    <t>CÓDIGO</t>
  </si>
  <si>
    <t>DEUDOR</t>
  </si>
  <si>
    <t>ACREEDOR</t>
  </si>
  <si>
    <t>NÚMERO DE TRANSACCIÓN BANCARIA, DE DOCUMENTO SUSTENTATORIO O DECONTROL INTERNO DE LA OPERACIÓN</t>
  </si>
  <si>
    <t>APELLIDOS Y NOMBRES, DENOMINACIÓN O RAZÓN SOCIAL</t>
  </si>
  <si>
    <t xml:space="preserve"> DESCRIPCIÓN DE LA OPERACIÓN</t>
  </si>
  <si>
    <t>MEDIO DE PAGO</t>
  </si>
  <si>
    <t>FECHA DE LA OPERACIÓN</t>
  </si>
  <si>
    <t>SALDOS Y MOVIMIENTOS</t>
  </si>
  <si>
    <t>SALDO UNICIAL</t>
  </si>
  <si>
    <t>A</t>
  </si>
  <si>
    <t>POR</t>
  </si>
  <si>
    <t>SALDO INICIAL</t>
  </si>
  <si>
    <t>CUENTAS CORRIENTES</t>
  </si>
  <si>
    <t>INSTITUCIONES FINACIERAS</t>
  </si>
  <si>
    <t>SALARIOS POR PAGAR</t>
  </si>
  <si>
    <t>CUOTAS POR LEYES SOCIALES</t>
  </si>
  <si>
    <t>MESES</t>
  </si>
  <si>
    <t>PLANILLA</t>
  </si>
  <si>
    <t>BI</t>
  </si>
  <si>
    <t>SALDO FINAL</t>
  </si>
  <si>
    <t>104</t>
  </si>
  <si>
    <t>FACTURAS</t>
  </si>
  <si>
    <t>41</t>
  </si>
  <si>
    <t>DEUDAS SOCIALES</t>
  </si>
  <si>
    <t>OPERACIÓN 5</t>
  </si>
  <si>
    <t>11 CUOTAS DE LEYES SOCIALES</t>
  </si>
  <si>
    <t>TRANSPORTE DE PRODUCTO TERMINADO</t>
  </si>
  <si>
    <t>MATENIMIENTO Y REPARACIONES</t>
  </si>
  <si>
    <t>16 DIAS DE YUNTA DE ALQUIER ANIMAL</t>
  </si>
  <si>
    <t xml:space="preserve">ENERGIA ELECTRICA </t>
  </si>
  <si>
    <t xml:space="preserve">RETRIBUCION ECONOMICA DEL AGUA </t>
  </si>
  <si>
    <t>SALARIOS</t>
  </si>
  <si>
    <t>SALARIO</t>
  </si>
  <si>
    <t xml:space="preserve">TOTAL </t>
  </si>
  <si>
    <t>REMUNERACION NETO</t>
  </si>
  <si>
    <t>PLANILLA:</t>
  </si>
  <si>
    <t>GIRAR CHEQUE</t>
  </si>
  <si>
    <t>CUDENTA CORRIENTE</t>
  </si>
  <si>
    <t>OTRAS INSTITUCIONES</t>
  </si>
  <si>
    <t>OTRAS CUENTAS POR PAGAR DIVERSAS</t>
  </si>
  <si>
    <t>6</t>
  </si>
  <si>
    <t>EFECTIVO Y EQUIVALENTE DE EFECTIVO</t>
  </si>
  <si>
    <t>CUENTAS POR PAGAR COMERCIAL TERCEROS</t>
  </si>
  <si>
    <t>7</t>
  </si>
  <si>
    <t>VENTAS</t>
  </si>
  <si>
    <t>PRODUCTOS TERMINADOS</t>
  </si>
  <si>
    <t>8</t>
  </si>
  <si>
    <t>NO SALE EFE</t>
  </si>
  <si>
    <t>POR EL RECONOCIMIENTO DEL GASTO</t>
  </si>
  <si>
    <t xml:space="preserve">POR LA CANCELACION DEL PRESTAMO A </t>
  </si>
  <si>
    <t>INSTITUCIÓN FINANCIERA</t>
  </si>
  <si>
    <t>9</t>
  </si>
  <si>
    <t>POR EL GIRO DE CHUQUE</t>
  </si>
  <si>
    <t>FASTURAS POR PAGAR</t>
  </si>
  <si>
    <t>LETRASPOR PAGAR</t>
  </si>
  <si>
    <t>10</t>
  </si>
  <si>
    <t>PRESTAMOS DE INTITUCIONES FINANCIERAS</t>
  </si>
  <si>
    <t>GASTOS DE SERVICIOS PRESTADOS POR TERCEROS</t>
  </si>
  <si>
    <t>TRANSPORTE, CORREOS, Y GASTOS DE VIAJE</t>
  </si>
  <si>
    <t xml:space="preserve">TRANSPORTE   </t>
  </si>
  <si>
    <t>DE CARGA</t>
  </si>
  <si>
    <t>MANTENIMIENTO Y REPARACIONES</t>
  </si>
  <si>
    <t>INMUEBLES, MAQUINARIAS Y EQUIPO</t>
  </si>
  <si>
    <t>ALQUILERES</t>
  </si>
  <si>
    <t>MAQUINARIAS Y EQUIPOS DE EXPLOTACIÓN</t>
  </si>
  <si>
    <t>SERVICIOS BASICOS</t>
  </si>
  <si>
    <t>ENERGIA ELECTRICA</t>
  </si>
  <si>
    <t>CUENTAS POR PAGAR DIVERSAS TERCEROS</t>
  </si>
  <si>
    <t>OTRAS CUENTAS POR PAGAR TERCEROS DIVERSAS</t>
  </si>
  <si>
    <t>GASTOS POR TRIBIUTOS</t>
  </si>
  <si>
    <t>OTROS GASTOS POR TRIBUTOS</t>
  </si>
  <si>
    <t>OTROS</t>
  </si>
  <si>
    <t>TRIBUTOS CONTRAPRESTACIONES Y APORTES</t>
  </si>
  <si>
    <t>INSTITUCIONES PUBLICAS</t>
  </si>
  <si>
    <t>PRESTAMOS DE INSTITUCIONES FINACNIERAS</t>
  </si>
  <si>
    <t>Codigo</t>
  </si>
  <si>
    <t>DENOMINACIÓN</t>
  </si>
  <si>
    <t>SUMAS</t>
  </si>
  <si>
    <t>SALDOS</t>
  </si>
  <si>
    <t>TRANSF. Y CANCEL.</t>
  </si>
  <si>
    <t>SALDOS AJUSTADOS</t>
  </si>
  <si>
    <t>INVENTARIO</t>
  </si>
  <si>
    <t>ESTADO RESULT. POR NAT.</t>
  </si>
  <si>
    <t>DISTRIBUCIÓN DE RESULTADOS</t>
  </si>
  <si>
    <t>ESTADO DE SITUACIÓN FINANC.</t>
  </si>
  <si>
    <t>ESTADO RESUL. POR FUNCIÓN</t>
  </si>
  <si>
    <t>DEBE</t>
  </si>
  <si>
    <t>HABER</t>
  </si>
  <si>
    <t xml:space="preserve">DEUDOR </t>
  </si>
  <si>
    <t xml:space="preserve">DEBE </t>
  </si>
  <si>
    <t>ACTIVO</t>
  </si>
  <si>
    <t>PASIVO</t>
  </si>
  <si>
    <t>PÉRDIDA</t>
  </si>
  <si>
    <t>GANACIA</t>
  </si>
  <si>
    <t>GANANCIA</t>
  </si>
  <si>
    <t>ANÁLISIS DE CIENTÍFICO DE COSTOS (ACC)</t>
  </si>
  <si>
    <t>Nº</t>
  </si>
  <si>
    <t>COSTOS POR 
DISTRIBUIR</t>
  </si>
  <si>
    <t>COSTO DE 
PRODUCCIÓN</t>
  </si>
  <si>
    <t>GASTOS 
CORPORATIV.</t>
  </si>
  <si>
    <t>PRODUCCIÓN EN PROCESO</t>
  </si>
  <si>
    <t>BASE DE 
REPARTO</t>
  </si>
  <si>
    <t>PREPAR. DE 
TERRENO</t>
  </si>
  <si>
    <t>SIEMBRA</t>
  </si>
  <si>
    <t>ABONAMIENTO</t>
  </si>
  <si>
    <t>LABOR 
CULTURALES</t>
  </si>
  <si>
    <t>CONTROL 
FITOSANITARIO</t>
  </si>
  <si>
    <t>COSECHA</t>
  </si>
  <si>
    <t>Kilogramos</t>
  </si>
  <si>
    <t>(Fertilizantes)</t>
  </si>
  <si>
    <t xml:space="preserve">      Nitrato de Amonio</t>
  </si>
  <si>
    <t xml:space="preserve">      Fosfato di Amónico</t>
  </si>
  <si>
    <t xml:space="preserve">      Cloruro de Potasio</t>
  </si>
  <si>
    <t xml:space="preserve">      Estiercol</t>
  </si>
  <si>
    <t>(Pesticida)</t>
  </si>
  <si>
    <t>Litros</t>
  </si>
  <si>
    <t>(Suministros Agricolas)</t>
  </si>
  <si>
    <t xml:space="preserve">    Picos </t>
  </si>
  <si>
    <t>Jornales</t>
  </si>
  <si>
    <t xml:space="preserve">    Hoces</t>
  </si>
  <si>
    <t xml:space="preserve">    Machetes</t>
  </si>
  <si>
    <t>Envases y Embalajes</t>
  </si>
  <si>
    <t>Sacos de Polietileno</t>
  </si>
  <si>
    <t>Sueldos y Salarios</t>
  </si>
  <si>
    <t>Vacaciones</t>
  </si>
  <si>
    <t>Dozavos</t>
  </si>
  <si>
    <t>Régimen de Prestaciones de salud</t>
  </si>
  <si>
    <t>Seg.Soc.Agr 4%</t>
  </si>
  <si>
    <t>CTS</t>
  </si>
  <si>
    <t>Transporte -  Carga</t>
  </si>
  <si>
    <t>Manten. y Reparac. de Herramientas</t>
  </si>
  <si>
    <t>Alquileres - Maquin. Y Equip.de Explot.</t>
  </si>
  <si>
    <t>Energia Eléctrica</t>
  </si>
  <si>
    <t>Riegos</t>
  </si>
  <si>
    <t>Intereses Por Prestamos y otras Oblig.</t>
  </si>
  <si>
    <t>Otros Gastos Financieros</t>
  </si>
  <si>
    <t>Edificaciones</t>
  </si>
  <si>
    <t>Administrativas</t>
  </si>
  <si>
    <t>Almacenes</t>
  </si>
  <si>
    <t>Herramientas, Unidades de reemplazo</t>
  </si>
  <si>
    <t>Fumigador</t>
  </si>
  <si>
    <t>TOTALES               S/.</t>
  </si>
  <si>
    <t>11</t>
  </si>
  <si>
    <t>MATERIA PRIAM PARA PRODUCTOS AGRICOLAS</t>
  </si>
  <si>
    <t>EMBALAJES</t>
  </si>
  <si>
    <t>VALUACION Y DETERIORO DE ACTIVOS Y PROVISIONES</t>
  </si>
  <si>
    <t>DEPRECIACION</t>
  </si>
  <si>
    <t>DEPRECIACION DE INMUEBLES MAQUINARIA Y EQUIPO</t>
  </si>
  <si>
    <t>GASTOS DE PERSONAL DIRECTORES Y GERENTES</t>
  </si>
  <si>
    <t>BENEFICIOS SOCIALES DE LOS TRABAJADORES</t>
  </si>
  <si>
    <t>DEPRECIACION, AMORTIZACION Y AGOTAMIENTO ACUMULADO</t>
  </si>
  <si>
    <t>DEPRECIACIÓN ACUMULADA</t>
  </si>
  <si>
    <t>HERRAMIENTAS Y UNIDADES DE REMPALZO</t>
  </si>
  <si>
    <t>DEPRECIACIÓN</t>
  </si>
  <si>
    <t>ADMINIST</t>
  </si>
  <si>
    <t>HERRAMIENTAS Y UNID DE REMPLAZO</t>
  </si>
  <si>
    <t>TASA ANUAL</t>
  </si>
  <si>
    <t>DEPRECIACION ANUAL</t>
  </si>
  <si>
    <t>DEPRECIACION MENSUAL</t>
  </si>
  <si>
    <t>POR 5 MESES</t>
  </si>
  <si>
    <t>cyfluthrin</t>
  </si>
  <si>
    <t>carbofuran</t>
  </si>
  <si>
    <t>carboxin</t>
  </si>
  <si>
    <t>propine</t>
  </si>
  <si>
    <t>lissapol</t>
  </si>
  <si>
    <t>CALCULO DE CTS</t>
  </si>
  <si>
    <t>Dias Yunta</t>
  </si>
  <si>
    <t>kilowatts</t>
  </si>
  <si>
    <t xml:space="preserve">Otros Impuestos </t>
  </si>
  <si>
    <t xml:space="preserve"> Mancozeb</t>
  </si>
  <si>
    <t xml:space="preserve"> Abono Foliar</t>
  </si>
  <si>
    <t xml:space="preserve">ENVASES </t>
  </si>
  <si>
    <t>421</t>
  </si>
  <si>
    <t>121</t>
  </si>
  <si>
    <t>123</t>
  </si>
  <si>
    <t>LETRAS</t>
  </si>
  <si>
    <t>451</t>
  </si>
  <si>
    <t>PRESTAMOS DE INSTIT. FINANC.</t>
  </si>
  <si>
    <t>373</t>
  </si>
  <si>
    <t>INTERESES DIFERIDOS</t>
  </si>
  <si>
    <t>OBLIGAC. FINANC. POR PAG.</t>
  </si>
  <si>
    <t>423</t>
  </si>
  <si>
    <t>679</t>
  </si>
  <si>
    <t>OTROS GASTOS FINANCIEROS</t>
  </si>
  <si>
    <t>REMUNERACIONES  Y PART. POR PAGAR</t>
  </si>
  <si>
    <t>REMIUNERACIONES POR PAGAR</t>
  </si>
  <si>
    <t>POR CENTRALIZACION DE  INGRESOS DE CAJA</t>
  </si>
  <si>
    <t>POR CENTRALIZACION DE EGRESOS DE CAJA</t>
  </si>
  <si>
    <t>POR  LA CENTRALIZACION DE INGRESO DE BANCO</t>
  </si>
  <si>
    <t>OBLIGACIONES FINANCIERAS POR PAGAR</t>
  </si>
  <si>
    <t>POR LA CENTRALIZACION DE EGRESOS DE BANCOS</t>
  </si>
  <si>
    <t>CUENTA CORRIENTE EN INSTITU. FINANCIERA</t>
  </si>
  <si>
    <t>intereses diferidos</t>
  </si>
  <si>
    <t>12</t>
  </si>
  <si>
    <t>POR LA VENTA DE 25000KG DE PAPA</t>
  </si>
  <si>
    <t>CUANTAS POR COBRAR COMERCIALES TERCEROS</t>
  </si>
  <si>
    <t>PRODUCTOS AGROP. Y PSIC. TERMINADOS</t>
  </si>
  <si>
    <t>13</t>
  </si>
  <si>
    <t>FACTURA, BOLETAS Y OTROS COMPRO.</t>
  </si>
  <si>
    <t>14</t>
  </si>
  <si>
    <t>MATERIALES AUXILIARES</t>
  </si>
  <si>
    <t>CONSUMO DIVERSOS</t>
  </si>
  <si>
    <t>MATERIAS PRIMAS</t>
  </si>
  <si>
    <t>MATERIA PRIMAS PARA PRODUCTO AGROPECUARIO</t>
  </si>
  <si>
    <t>ENVASES</t>
  </si>
  <si>
    <t>POR LAS PROVISIONES DE SERV.SOC. Y DEPRE.</t>
  </si>
  <si>
    <t>612.3 mat. Pri. Para prod. Agrop.</t>
  </si>
  <si>
    <t>MATERIA PRIMA PARA PRODUCCION AGROPECUARIA Y PISCICOLA</t>
  </si>
  <si>
    <t>6132 SUMINISTROS</t>
  </si>
  <si>
    <t xml:space="preserve">CUANTA SUB CUENTA, DIVISIONARIA Y DETALLE </t>
  </si>
  <si>
    <t>EQUIPO DE OFICINA</t>
  </si>
  <si>
    <t>ARADURA</t>
  </si>
  <si>
    <t>CRUZA</t>
  </si>
  <si>
    <t>RASTRA</t>
  </si>
  <si>
    <t>SURCADO</t>
  </si>
  <si>
    <t xml:space="preserve">HERRAMIENTAS Y UNIDADES DE REMPALZO </t>
  </si>
  <si>
    <t>15</t>
  </si>
  <si>
    <t>COSTO POR DISTRIBUIR</t>
  </si>
  <si>
    <t>MATERIALES AUXILIARES Y SUMINISTROS Y REPUESTO</t>
  </si>
  <si>
    <t>GASTO DE PERSONAL DIRECTORES Y GERENTES</t>
  </si>
  <si>
    <t>GASTOS DE SERVICIOS</t>
  </si>
  <si>
    <t>TRANSPORTE - CARGA</t>
  </si>
  <si>
    <t>MANTENAMIENTO Y REPARACIONES DE HERRAMIENTAS</t>
  </si>
  <si>
    <t>aradura</t>
  </si>
  <si>
    <t>cruza</t>
  </si>
  <si>
    <t>rastra</t>
  </si>
  <si>
    <t>surcado</t>
  </si>
  <si>
    <t>quipo de fumigacion</t>
  </si>
  <si>
    <t>equipo de oficina</t>
  </si>
  <si>
    <t>ALQUILERES -MAQUI. Y EQUIP. DE EXPL.</t>
  </si>
  <si>
    <t>GASTOS POR TRIBUTOS</t>
  </si>
  <si>
    <t>agua</t>
  </si>
  <si>
    <t>HERRAMIENTAS UNIDADES DE REMPLAZO</t>
  </si>
  <si>
    <t>CARGAS IMPUTABLES A CUENTAS DE COSTOS Y GASTOS</t>
  </si>
  <si>
    <t>cargas imputables a cuentas de costos y gastos</t>
  </si>
  <si>
    <t>POR LOS COSTOS TOTALES</t>
  </si>
  <si>
    <t>16</t>
  </si>
  <si>
    <t>OTROS IMPUESTOS</t>
  </si>
  <si>
    <t>PREPARION DE TERRENO</t>
  </si>
  <si>
    <t>SEMILLA DE PAPA</t>
  </si>
  <si>
    <t>SUMINISTRO AGRICOLAS</t>
  </si>
  <si>
    <t>LABORES CULTURALES</t>
  </si>
  <si>
    <t>CONTROL FITOSANITARIO</t>
  </si>
  <si>
    <t>EQUIPO DE FUMIGACION</t>
  </si>
  <si>
    <t>GASTOS CORPORATIVOS</t>
  </si>
  <si>
    <t>17</t>
  </si>
  <si>
    <t>POR LOS CENTROS DE COSTOS DIVERSOS</t>
  </si>
  <si>
    <t>COSTO DE PRODUCCION</t>
  </si>
  <si>
    <t>MANO DE OBRA</t>
  </si>
  <si>
    <t>GASTOS GENERALES</t>
  </si>
  <si>
    <t>POR EL COSTO DE PRODUCCION</t>
  </si>
  <si>
    <t>18</t>
  </si>
  <si>
    <t>PARA SALDAR LAS CUENTAS 97 Y 98</t>
  </si>
  <si>
    <t>19</t>
  </si>
  <si>
    <t>PRODUCCION DE ACTIVO INMOVILIZADO</t>
  </si>
  <si>
    <t>20</t>
  </si>
  <si>
    <t>21</t>
  </si>
  <si>
    <t>.</t>
  </si>
  <si>
    <t>ACTIVOS BIOLOGICOS</t>
  </si>
  <si>
    <t>Por el costo de venta y la desvalorización de existencias</t>
  </si>
  <si>
    <t>Por producción medida a valor razonable</t>
  </si>
  <si>
    <t>Por los activos biológicos del ejercicio económico</t>
  </si>
  <si>
    <t>ACTIVOS BIOLÓGICOS</t>
  </si>
  <si>
    <t>GANANCIA POR MEDICION DE ACTIVOS NO FINANC AL V. R.</t>
  </si>
  <si>
    <t>COSTO DE VENTA</t>
  </si>
  <si>
    <t>DESVALORIZACIÓN DE EXISTENCIAS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</si>
</sst>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&quot;S/.&quot;\ #,##0.00;[Red]&quot;S/.&quot;\ \-#,##0.00"/>
    <numFmt numFmtId="166" formatCode="&quot;S/.&quot;\ #,##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i/>
      <sz val="8"/>
      <name val="Calibri"/>
      <family val="2"/>
      <scheme val="minor"/>
    </font>
    <font>
      <b/>
      <i/>
      <sz val="7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b/>
      <sz val="7.5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Calibri Light"/>
      <family val="1"/>
      <scheme val="major"/>
    </font>
    <font>
      <b/>
      <sz val="9"/>
      <color theme="1"/>
      <name val="Arial Narrow"/>
      <family val="2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4" tint="0.39997558519241921"/>
      <name val="Arial"/>
      <family val="2"/>
    </font>
    <font>
      <b/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49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14" fontId="8" fillId="0" borderId="9" xfId="0" applyNumberFormat="1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14" fontId="5" fillId="0" borderId="6" xfId="0" applyNumberFormat="1" applyFont="1" applyBorder="1"/>
    <xf numFmtId="0" fontId="2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/>
    <xf numFmtId="0" fontId="2" fillId="0" borderId="6" xfId="0" applyFont="1" applyFill="1" applyBorder="1"/>
    <xf numFmtId="0" fontId="10" fillId="2" borderId="6" xfId="0" applyNumberFormat="1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2" xfId="0" applyFont="1" applyFill="1" applyBorder="1" applyAlignment="1">
      <alignment horizontal="left" vertical="center"/>
    </xf>
    <xf numFmtId="0" fontId="0" fillId="0" borderId="6" xfId="0" applyBorder="1"/>
    <xf numFmtId="49" fontId="10" fillId="0" borderId="6" xfId="0" applyNumberFormat="1" applyFont="1" applyFill="1" applyBorder="1" applyAlignment="1">
      <alignment horizontal="left" vertical="center"/>
    </xf>
    <xf numFmtId="166" fontId="10" fillId="0" borderId="6" xfId="0" applyNumberFormat="1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>
      <alignment horizontal="left"/>
    </xf>
    <xf numFmtId="166" fontId="0" fillId="0" borderId="0" xfId="0" applyNumberFormat="1"/>
    <xf numFmtId="166" fontId="0" fillId="0" borderId="6" xfId="0" applyNumberFormat="1" applyBorder="1"/>
    <xf numFmtId="0" fontId="2" fillId="2" borderId="9" xfId="0" applyFont="1" applyFill="1" applyBorder="1" applyAlignment="1">
      <alignment horizontal="center" vertical="center" wrapText="1"/>
    </xf>
    <xf numFmtId="14" fontId="5" fillId="2" borderId="6" xfId="0" applyNumberFormat="1" applyFont="1" applyFill="1" applyBorder="1"/>
    <xf numFmtId="14" fontId="9" fillId="2" borderId="6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4" fontId="9" fillId="2" borderId="10" xfId="0" applyNumberFormat="1" applyFont="1" applyFill="1" applyBorder="1" applyAlignment="1">
      <alignment vertical="center"/>
    </xf>
    <xf numFmtId="14" fontId="2" fillId="2" borderId="9" xfId="0" applyNumberFormat="1" applyFont="1" applyFill="1" applyBorder="1" applyAlignment="1">
      <alignment horizontal="left" vertical="center"/>
    </xf>
    <xf numFmtId="0" fontId="14" fillId="2" borderId="6" xfId="0" applyFont="1" applyFill="1" applyBorder="1"/>
    <xf numFmtId="14" fontId="2" fillId="2" borderId="10" xfId="0" applyNumberFormat="1" applyFont="1" applyFill="1" applyBorder="1" applyAlignment="1">
      <alignment horizontal="center"/>
    </xf>
    <xf numFmtId="14" fontId="1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4" fontId="9" fillId="2" borderId="10" xfId="0" applyNumberFormat="1" applyFont="1" applyFill="1" applyBorder="1" applyAlignment="1"/>
    <xf numFmtId="14" fontId="13" fillId="2" borderId="10" xfId="0" applyNumberFormat="1" applyFont="1" applyFill="1" applyBorder="1" applyAlignment="1"/>
    <xf numFmtId="14" fontId="2" fillId="2" borderId="6" xfId="0" applyNumberFormat="1" applyFont="1" applyFill="1" applyBorder="1" applyAlignment="1">
      <alignment horizontal="center"/>
    </xf>
    <xf numFmtId="14" fontId="9" fillId="2" borderId="6" xfId="0" applyNumberFormat="1" applyFont="1" applyFill="1" applyBorder="1" applyAlignment="1"/>
    <xf numFmtId="49" fontId="2" fillId="2" borderId="6" xfId="0" applyNumberFormat="1" applyFont="1" applyFill="1" applyBorder="1" applyAlignment="1">
      <alignment horizontal="center"/>
    </xf>
    <xf numFmtId="0" fontId="17" fillId="0" borderId="6" xfId="2" applyFont="1" applyFill="1" applyBorder="1" applyAlignment="1">
      <alignment horizontal="left" vertical="center"/>
    </xf>
    <xf numFmtId="0" fontId="18" fillId="0" borderId="6" xfId="2" applyFont="1" applyFill="1" applyBorder="1" applyAlignment="1">
      <alignment horizontal="left" vertical="center"/>
    </xf>
    <xf numFmtId="0" fontId="17" fillId="0" borderId="6" xfId="2" applyFont="1" applyFill="1" applyBorder="1" applyAlignment="1">
      <alignment horizontal="left" vertical="center" wrapText="1"/>
    </xf>
    <xf numFmtId="0" fontId="16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14" fontId="17" fillId="0" borderId="10" xfId="2" applyNumberFormat="1" applyFont="1" applyFill="1" applyBorder="1" applyAlignment="1">
      <alignment horizontal="center" vertical="center"/>
    </xf>
    <xf numFmtId="14" fontId="17" fillId="0" borderId="6" xfId="2" applyNumberFormat="1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vertical="center"/>
    </xf>
    <xf numFmtId="0" fontId="15" fillId="0" borderId="0" xfId="2" applyAlignment="1">
      <alignment vertical="center"/>
    </xf>
    <xf numFmtId="0" fontId="0" fillId="0" borderId="0" xfId="0" applyAlignment="1">
      <alignment vertical="center"/>
    </xf>
    <xf numFmtId="0" fontId="16" fillId="0" borderId="0" xfId="2" applyFont="1" applyAlignment="1">
      <alignment vertical="center" wrapText="1"/>
    </xf>
    <xf numFmtId="0" fontId="18" fillId="0" borderId="0" xfId="2" applyFont="1" applyAlignment="1">
      <alignment vertical="center" wrapText="1"/>
    </xf>
    <xf numFmtId="14" fontId="17" fillId="0" borderId="10" xfId="2" applyNumberFormat="1" applyFont="1" applyFill="1" applyBorder="1" applyAlignment="1">
      <alignment horizontal="center" vertical="center" wrapText="1"/>
    </xf>
    <xf numFmtId="14" fontId="17" fillId="0" borderId="6" xfId="2" applyNumberFormat="1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vertical="center" wrapText="1"/>
    </xf>
    <xf numFmtId="0" fontId="15" fillId="0" borderId="0" xfId="2" applyAlignment="1">
      <alignment vertical="center" wrapText="1"/>
    </xf>
    <xf numFmtId="0" fontId="0" fillId="0" borderId="0" xfId="0" applyAlignment="1">
      <alignment vertical="center" wrapText="1"/>
    </xf>
    <xf numFmtId="49" fontId="17" fillId="0" borderId="10" xfId="2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166" fontId="4" fillId="0" borderId="0" xfId="0" applyNumberFormat="1" applyFont="1"/>
    <xf numFmtId="166" fontId="6" fillId="0" borderId="0" xfId="0" applyNumberFormat="1" applyFont="1"/>
    <xf numFmtId="166" fontId="8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10" fillId="0" borderId="6" xfId="0" applyNumberFormat="1" applyFont="1" applyFill="1" applyBorder="1" applyAlignment="1">
      <alignment horizontal="right" vertical="center"/>
    </xf>
    <xf numFmtId="166" fontId="15" fillId="0" borderId="6" xfId="2" applyNumberFormat="1" applyBorder="1" applyAlignment="1">
      <alignment vertical="center"/>
    </xf>
    <xf numFmtId="49" fontId="17" fillId="0" borderId="6" xfId="2" applyNumberFormat="1" applyFont="1" applyFill="1" applyBorder="1" applyAlignment="1">
      <alignment horizontal="left" vertical="center"/>
    </xf>
    <xf numFmtId="14" fontId="17" fillId="0" borderId="6" xfId="2" applyNumberFormat="1" applyFont="1" applyFill="1" applyBorder="1" applyAlignment="1">
      <alignment horizontal="left" vertic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7" fillId="0" borderId="2" xfId="0" applyFont="1" applyFill="1" applyBorder="1" applyAlignment="1">
      <alignment wrapText="1"/>
    </xf>
    <xf numFmtId="0" fontId="17" fillId="0" borderId="18" xfId="0" applyFont="1" applyFill="1" applyBorder="1" applyAlignment="1">
      <alignment wrapText="1"/>
    </xf>
    <xf numFmtId="0" fontId="17" fillId="0" borderId="3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top" wrapText="1"/>
    </xf>
    <xf numFmtId="14" fontId="17" fillId="0" borderId="10" xfId="0" applyNumberFormat="1" applyFont="1" applyFill="1" applyBorder="1" applyAlignment="1">
      <alignment horizontal="left"/>
    </xf>
    <xf numFmtId="14" fontId="17" fillId="0" borderId="20" xfId="0" applyNumberFormat="1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 vertical="center" wrapText="1"/>
    </xf>
    <xf numFmtId="14" fontId="17" fillId="0" borderId="9" xfId="0" applyNumberFormat="1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4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6" xfId="0" applyFont="1" applyFill="1" applyBorder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18" xfId="0" applyFont="1" applyFill="1" applyBorder="1" applyAlignment="1">
      <alignment horizontal="center" vertical="center" wrapText="1"/>
    </xf>
    <xf numFmtId="166" fontId="0" fillId="0" borderId="9" xfId="0" applyNumberFormat="1" applyBorder="1" applyAlignment="1">
      <alignment horizontal="left"/>
    </xf>
    <xf numFmtId="166" fontId="0" fillId="0" borderId="10" xfId="0" applyNumberFormat="1" applyBorder="1" applyAlignment="1">
      <alignment horizontal="left"/>
    </xf>
    <xf numFmtId="166" fontId="0" fillId="0" borderId="10" xfId="0" applyNumberFormat="1" applyBorder="1"/>
    <xf numFmtId="0" fontId="0" fillId="0" borderId="5" xfId="0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4" xfId="0" applyBorder="1"/>
    <xf numFmtId="0" fontId="0" fillId="0" borderId="20" xfId="0" applyBorder="1"/>
    <xf numFmtId="166" fontId="0" fillId="0" borderId="23" xfId="0" applyNumberFormat="1" applyBorder="1"/>
    <xf numFmtId="166" fontId="0" fillId="0" borderId="17" xfId="0" applyNumberFormat="1" applyBorder="1"/>
    <xf numFmtId="165" fontId="0" fillId="0" borderId="0" xfId="0" applyNumberFormat="1"/>
    <xf numFmtId="166" fontId="0" fillId="0" borderId="0" xfId="0" applyNumberFormat="1" applyAlignment="1">
      <alignment vertical="center"/>
    </xf>
    <xf numFmtId="14" fontId="17" fillId="0" borderId="9" xfId="0" applyNumberFormat="1" applyFont="1" applyFill="1" applyBorder="1" applyAlignment="1">
      <alignment horizontal="left" vertical="top"/>
    </xf>
    <xf numFmtId="49" fontId="17" fillId="0" borderId="9" xfId="0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49" fontId="17" fillId="0" borderId="10" xfId="0" applyNumberFormat="1" applyFont="1" applyFill="1" applyBorder="1" applyAlignment="1">
      <alignment horizontal="left" vertical="top"/>
    </xf>
    <xf numFmtId="49" fontId="17" fillId="0" borderId="6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/>
    <xf numFmtId="0" fontId="17" fillId="0" borderId="5" xfId="2" applyFont="1" applyFill="1" applyBorder="1" applyAlignment="1">
      <alignment horizontal="left" vertical="top"/>
    </xf>
    <xf numFmtId="0" fontId="17" fillId="0" borderId="5" xfId="2" applyFont="1" applyFill="1" applyBorder="1" applyAlignment="1">
      <alignment horizontal="left" vertical="top" wrapText="1"/>
    </xf>
    <xf numFmtId="0" fontId="18" fillId="0" borderId="0" xfId="2" applyFont="1" applyAlignment="1">
      <alignment horizontal="left" vertical="top"/>
    </xf>
    <xf numFmtId="49" fontId="17" fillId="0" borderId="6" xfId="2" applyNumberFormat="1" applyFont="1" applyFill="1" applyBorder="1" applyAlignment="1">
      <alignment horizontal="left" vertical="top"/>
    </xf>
    <xf numFmtId="0" fontId="17" fillId="0" borderId="6" xfId="2" applyFont="1" applyFill="1" applyBorder="1" applyAlignment="1">
      <alignment horizontal="left" vertical="top"/>
    </xf>
    <xf numFmtId="0" fontId="15" fillId="0" borderId="0" xfId="2" applyAlignment="1">
      <alignment horizontal="left" vertical="top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wrapText="1"/>
    </xf>
    <xf numFmtId="0" fontId="0" fillId="4" borderId="16" xfId="0" applyFill="1" applyBorder="1"/>
    <xf numFmtId="0" fontId="0" fillId="4" borderId="5" xfId="0" applyFill="1" applyBorder="1"/>
    <xf numFmtId="0" fontId="0" fillId="4" borderId="6" xfId="0" applyFill="1" applyBorder="1"/>
    <xf numFmtId="166" fontId="0" fillId="4" borderId="17" xfId="0" applyNumberFormat="1" applyFill="1" applyBorder="1"/>
    <xf numFmtId="0" fontId="0" fillId="4" borderId="20" xfId="0" applyFill="1" applyBorder="1"/>
    <xf numFmtId="2" fontId="0" fillId="5" borderId="6" xfId="0" applyNumberFormat="1" applyFill="1" applyBorder="1"/>
    <xf numFmtId="166" fontId="0" fillId="6" borderId="6" xfId="0" applyNumberFormat="1" applyFill="1" applyBorder="1"/>
    <xf numFmtId="166" fontId="0" fillId="6" borderId="0" xfId="0" applyNumberFormat="1" applyFill="1"/>
    <xf numFmtId="166" fontId="0" fillId="7" borderId="0" xfId="0" applyNumberFormat="1" applyFill="1"/>
    <xf numFmtId="166" fontId="0" fillId="7" borderId="17" xfId="0" applyNumberFormat="1" applyFill="1" applyBorder="1"/>
    <xf numFmtId="166" fontId="0" fillId="8" borderId="17" xfId="0" applyNumberFormat="1" applyFill="1" applyBorder="1"/>
    <xf numFmtId="0" fontId="0" fillId="9" borderId="20" xfId="0" applyFill="1" applyBorder="1"/>
    <xf numFmtId="0" fontId="0" fillId="9" borderId="6" xfId="0" applyFill="1" applyBorder="1"/>
    <xf numFmtId="166" fontId="0" fillId="9" borderId="17" xfId="0" applyNumberFormat="1" applyFill="1" applyBorder="1"/>
    <xf numFmtId="0" fontId="22" fillId="0" borderId="0" xfId="0" applyFont="1"/>
    <xf numFmtId="0" fontId="0" fillId="10" borderId="6" xfId="0" applyFill="1" applyBorder="1"/>
    <xf numFmtId="14" fontId="13" fillId="10" borderId="10" xfId="0" applyNumberFormat="1" applyFont="1" applyFill="1" applyBorder="1" applyAlignment="1"/>
    <xf numFmtId="14" fontId="13" fillId="11" borderId="10" xfId="0" applyNumberFormat="1" applyFont="1" applyFill="1" applyBorder="1" applyAlignment="1"/>
    <xf numFmtId="0" fontId="2" fillId="11" borderId="6" xfId="0" applyFont="1" applyFill="1" applyBorder="1"/>
    <xf numFmtId="0" fontId="10" fillId="11" borderId="6" xfId="0" applyFont="1" applyFill="1" applyBorder="1" applyAlignment="1">
      <alignment horizontal="left"/>
    </xf>
    <xf numFmtId="0" fontId="10" fillId="11" borderId="6" xfId="0" applyNumberFormat="1" applyFont="1" applyFill="1" applyBorder="1" applyAlignment="1">
      <alignment horizontal="left"/>
    </xf>
    <xf numFmtId="14" fontId="13" fillId="12" borderId="10" xfId="0" applyNumberFormat="1" applyFont="1" applyFill="1" applyBorder="1" applyAlignment="1"/>
    <xf numFmtId="0" fontId="2" fillId="12" borderId="6" xfId="0" applyFont="1" applyFill="1" applyBorder="1"/>
    <xf numFmtId="0" fontId="10" fillId="12" borderId="6" xfId="0" applyFont="1" applyFill="1" applyBorder="1" applyAlignment="1">
      <alignment horizontal="left"/>
    </xf>
    <xf numFmtId="14" fontId="13" fillId="7" borderId="10" xfId="0" applyNumberFormat="1" applyFont="1" applyFill="1" applyBorder="1" applyAlignment="1"/>
    <xf numFmtId="0" fontId="2" fillId="7" borderId="6" xfId="0" applyFont="1" applyFill="1" applyBorder="1"/>
    <xf numFmtId="0" fontId="10" fillId="7" borderId="6" xfId="0" applyFont="1" applyFill="1" applyBorder="1" applyAlignment="1">
      <alignment horizontal="left"/>
    </xf>
    <xf numFmtId="0" fontId="10" fillId="7" borderId="6" xfId="0" applyNumberFormat="1" applyFont="1" applyFill="1" applyBorder="1" applyAlignment="1">
      <alignment horizontal="left"/>
    </xf>
    <xf numFmtId="0" fontId="10" fillId="7" borderId="4" xfId="0" applyFont="1" applyFill="1" applyBorder="1" applyAlignment="1">
      <alignment horizontal="left"/>
    </xf>
    <xf numFmtId="14" fontId="13" fillId="8" borderId="10" xfId="0" applyNumberFormat="1" applyFont="1" applyFill="1" applyBorder="1" applyAlignment="1"/>
    <xf numFmtId="0" fontId="2" fillId="8" borderId="6" xfId="0" applyFont="1" applyFill="1" applyBorder="1"/>
    <xf numFmtId="0" fontId="10" fillId="8" borderId="6" xfId="0" applyFont="1" applyFill="1" applyBorder="1" applyAlignment="1">
      <alignment horizontal="left"/>
    </xf>
    <xf numFmtId="0" fontId="10" fillId="8" borderId="6" xfId="0" applyNumberFormat="1" applyFont="1" applyFill="1" applyBorder="1" applyAlignment="1">
      <alignment horizontal="left"/>
    </xf>
    <xf numFmtId="0" fontId="10" fillId="8" borderId="8" xfId="0" applyNumberFormat="1" applyFont="1" applyFill="1" applyBorder="1" applyAlignment="1">
      <alignment horizontal="left"/>
    </xf>
    <xf numFmtId="14" fontId="13" fillId="13" borderId="10" xfId="0" applyNumberFormat="1" applyFont="1" applyFill="1" applyBorder="1" applyAlignment="1"/>
    <xf numFmtId="0" fontId="2" fillId="13" borderId="6" xfId="0" applyFont="1" applyFill="1" applyBorder="1"/>
    <xf numFmtId="0" fontId="10" fillId="13" borderId="6" xfId="0" applyNumberFormat="1" applyFont="1" applyFill="1" applyBorder="1" applyAlignment="1">
      <alignment horizontal="left"/>
    </xf>
    <xf numFmtId="0" fontId="2" fillId="10" borderId="6" xfId="0" applyFont="1" applyFill="1" applyBorder="1"/>
    <xf numFmtId="0" fontId="0" fillId="0" borderId="0" xfId="0" applyAlignment="1">
      <alignment horizontal="center"/>
    </xf>
    <xf numFmtId="166" fontId="0" fillId="0" borderId="25" xfId="0" applyNumberFormat="1" applyBorder="1"/>
    <xf numFmtId="166" fontId="0" fillId="0" borderId="26" xfId="0" applyNumberFormat="1" applyBorder="1"/>
    <xf numFmtId="166" fontId="0" fillId="0" borderId="27" xfId="0" applyNumberFormat="1" applyBorder="1"/>
    <xf numFmtId="166" fontId="0" fillId="0" borderId="15" xfId="0" applyNumberFormat="1" applyBorder="1"/>
    <xf numFmtId="166" fontId="0" fillId="0" borderId="28" xfId="0" applyNumberFormat="1" applyBorder="1"/>
    <xf numFmtId="166" fontId="0" fillId="0" borderId="29" xfId="0" applyNumberFormat="1" applyBorder="1"/>
    <xf numFmtId="166" fontId="0" fillId="0" borderId="30" xfId="0" applyNumberFormat="1" applyBorder="1"/>
    <xf numFmtId="166" fontId="0" fillId="0" borderId="18" xfId="0" applyNumberFormat="1" applyBorder="1"/>
    <xf numFmtId="166" fontId="0" fillId="0" borderId="19" xfId="0" applyNumberFormat="1" applyBorder="1"/>
    <xf numFmtId="166" fontId="0" fillId="0" borderId="3" xfId="0" applyNumberFormat="1" applyBorder="1"/>
    <xf numFmtId="166" fontId="23" fillId="0" borderId="6" xfId="0" applyNumberFormat="1" applyFont="1" applyFill="1" applyBorder="1"/>
    <xf numFmtId="0" fontId="23" fillId="0" borderId="6" xfId="0" applyFont="1" applyFill="1" applyBorder="1"/>
    <xf numFmtId="0" fontId="23" fillId="0" borderId="6" xfId="0" applyFont="1" applyFill="1" applyBorder="1" applyAlignment="1"/>
    <xf numFmtId="0" fontId="23" fillId="0" borderId="6" xfId="0" applyFont="1" applyBorder="1" applyAlignment="1">
      <alignment horizontal="center"/>
    </xf>
    <xf numFmtId="164" fontId="0" fillId="0" borderId="6" xfId="1" applyFont="1" applyBorder="1"/>
    <xf numFmtId="164" fontId="0" fillId="0" borderId="6" xfId="0" applyNumberFormat="1" applyBorder="1"/>
    <xf numFmtId="0" fontId="24" fillId="0" borderId="6" xfId="0" applyFont="1" applyBorder="1"/>
    <xf numFmtId="164" fontId="24" fillId="0" borderId="6" xfId="1" applyFont="1" applyBorder="1"/>
    <xf numFmtId="0" fontId="25" fillId="0" borderId="6" xfId="0" applyFont="1" applyBorder="1"/>
    <xf numFmtId="164" fontId="25" fillId="0" borderId="6" xfId="0" applyNumberFormat="1" applyFont="1" applyBorder="1"/>
    <xf numFmtId="0" fontId="23" fillId="0" borderId="0" xfId="0" applyFont="1" applyAlignment="1">
      <alignment horizontal="center"/>
    </xf>
    <xf numFmtId="164" fontId="26" fillId="10" borderId="6" xfId="0" applyNumberFormat="1" applyFont="1" applyFill="1" applyBorder="1"/>
    <xf numFmtId="164" fontId="0" fillId="10" borderId="6" xfId="0" applyNumberFormat="1" applyFill="1" applyBorder="1"/>
    <xf numFmtId="164" fontId="0" fillId="0" borderId="0" xfId="0" applyNumberFormat="1"/>
    <xf numFmtId="164" fontId="27" fillId="14" borderId="6" xfId="0" applyNumberFormat="1" applyFont="1" applyFill="1" applyBorder="1"/>
    <xf numFmtId="0" fontId="27" fillId="14" borderId="6" xfId="0" applyFont="1" applyFill="1" applyBorder="1"/>
    <xf numFmtId="0" fontId="35" fillId="0" borderId="0" xfId="0" applyFont="1"/>
    <xf numFmtId="4" fontId="35" fillId="17" borderId="33" xfId="0" applyNumberFormat="1" applyFont="1" applyFill="1" applyBorder="1"/>
    <xf numFmtId="4" fontId="35" fillId="17" borderId="33" xfId="0" applyNumberFormat="1" applyFont="1" applyFill="1" applyBorder="1" applyAlignment="1">
      <alignment horizontal="center" vertical="center"/>
    </xf>
    <xf numFmtId="4" fontId="38" fillId="17" borderId="33" xfId="0" applyNumberFormat="1" applyFont="1" applyFill="1" applyBorder="1" applyAlignment="1">
      <alignment horizontal="center" vertical="center" wrapText="1"/>
    </xf>
    <xf numFmtId="0" fontId="37" fillId="0" borderId="33" xfId="0" applyFont="1" applyBorder="1"/>
    <xf numFmtId="4" fontId="35" fillId="0" borderId="33" xfId="0" applyNumberFormat="1" applyFont="1" applyBorder="1"/>
    <xf numFmtId="4" fontId="35" fillId="0" borderId="33" xfId="0" applyNumberFormat="1" applyFon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7" fillId="17" borderId="33" xfId="0" applyFont="1" applyFill="1" applyBorder="1"/>
    <xf numFmtId="4" fontId="0" fillId="17" borderId="33" xfId="0" applyNumberFormat="1" applyFill="1" applyBorder="1" applyAlignment="1">
      <alignment horizontal="center" vertical="center"/>
    </xf>
    <xf numFmtId="0" fontId="38" fillId="0" borderId="33" xfId="0" applyFont="1" applyBorder="1"/>
    <xf numFmtId="4" fontId="0" fillId="0" borderId="33" xfId="0" applyNumberFormat="1" applyFont="1" applyBorder="1"/>
    <xf numFmtId="4" fontId="0" fillId="0" borderId="33" xfId="0" applyNumberFormat="1" applyBorder="1"/>
    <xf numFmtId="0" fontId="38" fillId="0" borderId="33" xfId="0" applyFont="1" applyBorder="1" applyAlignment="1">
      <alignment horizontal="right"/>
    </xf>
    <xf numFmtId="4" fontId="0" fillId="17" borderId="33" xfId="0" applyNumberFormat="1" applyFont="1" applyFill="1" applyBorder="1"/>
    <xf numFmtId="4" fontId="23" fillId="17" borderId="33" xfId="0" applyNumberFormat="1" applyFont="1" applyFill="1" applyBorder="1"/>
    <xf numFmtId="0" fontId="29" fillId="0" borderId="33" xfId="0" applyFont="1" applyBorder="1" applyAlignment="1">
      <alignment horizontal="center"/>
    </xf>
    <xf numFmtId="0" fontId="29" fillId="17" borderId="33" xfId="0" applyFont="1" applyFill="1" applyBorder="1" applyAlignment="1">
      <alignment horizontal="center"/>
    </xf>
    <xf numFmtId="0" fontId="2" fillId="0" borderId="33" xfId="0" applyFont="1" applyFill="1" applyBorder="1"/>
    <xf numFmtId="0" fontId="10" fillId="0" borderId="33" xfId="0" applyNumberFormat="1" applyFont="1" applyFill="1" applyBorder="1" applyAlignment="1">
      <alignment horizontal="left"/>
    </xf>
    <xf numFmtId="49" fontId="10" fillId="0" borderId="33" xfId="0" applyNumberFormat="1" applyFont="1" applyFill="1" applyBorder="1" applyAlignment="1">
      <alignment horizontal="left" vertical="center"/>
    </xf>
    <xf numFmtId="166" fontId="10" fillId="0" borderId="33" xfId="0" applyNumberFormat="1" applyFont="1" applyFill="1" applyBorder="1" applyAlignment="1">
      <alignment horizontal="left" vertical="center"/>
    </xf>
    <xf numFmtId="166" fontId="10" fillId="0" borderId="33" xfId="0" applyNumberFormat="1" applyFont="1" applyFill="1" applyBorder="1" applyAlignment="1">
      <alignment horizontal="right" vertical="center"/>
    </xf>
    <xf numFmtId="166" fontId="10" fillId="0" borderId="37" xfId="0" applyNumberFormat="1" applyFont="1" applyFill="1" applyBorder="1" applyAlignment="1">
      <alignment horizontal="right" vertical="center"/>
    </xf>
    <xf numFmtId="0" fontId="0" fillId="0" borderId="33" xfId="0" applyBorder="1"/>
    <xf numFmtId="0" fontId="0" fillId="0" borderId="33" xfId="0" applyBorder="1" applyAlignment="1">
      <alignment wrapText="1"/>
    </xf>
    <xf numFmtId="166" fontId="0" fillId="0" borderId="33" xfId="0" applyNumberFormat="1" applyBorder="1"/>
    <xf numFmtId="9" fontId="0" fillId="0" borderId="33" xfId="0" applyNumberFormat="1" applyBorder="1"/>
    <xf numFmtId="166" fontId="8" fillId="0" borderId="35" xfId="0" applyNumberFormat="1" applyFont="1" applyFill="1" applyBorder="1" applyAlignment="1">
      <alignment horizontal="left" vertical="center"/>
    </xf>
    <xf numFmtId="166" fontId="8" fillId="0" borderId="35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left" vertical="center"/>
    </xf>
    <xf numFmtId="49" fontId="9" fillId="0" borderId="34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25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27" xfId="0" applyNumberFormat="1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41" xfId="0" applyNumberFormat="1" applyFont="1" applyFill="1" applyBorder="1" applyAlignment="1">
      <alignment vertical="center"/>
    </xf>
    <xf numFmtId="49" fontId="22" fillId="0" borderId="26" xfId="0" applyNumberFormat="1" applyFont="1" applyBorder="1"/>
    <xf numFmtId="49" fontId="22" fillId="0" borderId="15" xfId="0" applyNumberFormat="1" applyFont="1" applyBorder="1"/>
    <xf numFmtId="4" fontId="0" fillId="0" borderId="0" xfId="0" applyNumberFormat="1"/>
    <xf numFmtId="0" fontId="37" fillId="0" borderId="33" xfId="0" applyFont="1" applyBorder="1" applyAlignment="1">
      <alignment horizontal="left"/>
    </xf>
    <xf numFmtId="166" fontId="11" fillId="2" borderId="10" xfId="0" applyNumberFormat="1" applyFont="1" applyFill="1" applyBorder="1" applyAlignment="1">
      <alignment horizontal="lef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2" borderId="9" xfId="0" applyNumberFormat="1" applyFont="1" applyFill="1" applyBorder="1" applyAlignment="1">
      <alignment horizontal="right" vertical="center"/>
    </xf>
    <xf numFmtId="166" fontId="11" fillId="2" borderId="6" xfId="0" applyNumberFormat="1" applyFont="1" applyFill="1" applyBorder="1" applyAlignment="1">
      <alignment horizontal="left" vertical="center"/>
    </xf>
    <xf numFmtId="166" fontId="11" fillId="2" borderId="6" xfId="0" applyNumberFormat="1" applyFont="1" applyFill="1" applyBorder="1" applyAlignment="1">
      <alignment horizontal="right" vertical="center"/>
    </xf>
    <xf numFmtId="166" fontId="11" fillId="2" borderId="37" xfId="0" applyNumberFormat="1" applyFont="1" applyFill="1" applyBorder="1" applyAlignment="1">
      <alignment horizontal="right" vertical="center"/>
    </xf>
    <xf numFmtId="166" fontId="11" fillId="2" borderId="6" xfId="0" applyNumberFormat="1" applyFont="1" applyFill="1" applyBorder="1" applyAlignment="1">
      <alignment horizontal="left"/>
    </xf>
    <xf numFmtId="166" fontId="11" fillId="2" borderId="6" xfId="0" applyNumberFormat="1" applyFont="1" applyFill="1" applyBorder="1" applyAlignment="1">
      <alignment horizontal="right"/>
    </xf>
    <xf numFmtId="166" fontId="11" fillId="2" borderId="37" xfId="0" applyNumberFormat="1" applyFont="1" applyFill="1" applyBorder="1" applyAlignment="1">
      <alignment horizontal="right"/>
    </xf>
    <xf numFmtId="166" fontId="11" fillId="11" borderId="6" xfId="0" applyNumberFormat="1" applyFont="1" applyFill="1" applyBorder="1" applyAlignment="1">
      <alignment horizontal="left" vertical="center"/>
    </xf>
    <xf numFmtId="166" fontId="11" fillId="11" borderId="6" xfId="0" applyNumberFormat="1" applyFont="1" applyFill="1" applyBorder="1" applyAlignment="1">
      <alignment horizontal="right" vertical="center"/>
    </xf>
    <xf numFmtId="166" fontId="11" fillId="11" borderId="37" xfId="0" applyNumberFormat="1" applyFont="1" applyFill="1" applyBorder="1" applyAlignment="1">
      <alignment horizontal="right" vertical="center"/>
    </xf>
    <xf numFmtId="166" fontId="11" fillId="12" borderId="6" xfId="0" applyNumberFormat="1" applyFont="1" applyFill="1" applyBorder="1" applyAlignment="1">
      <alignment horizontal="left"/>
    </xf>
    <xf numFmtId="166" fontId="11" fillId="12" borderId="6" xfId="0" applyNumberFormat="1" applyFont="1" applyFill="1" applyBorder="1" applyAlignment="1">
      <alignment horizontal="right"/>
    </xf>
    <xf numFmtId="166" fontId="11" fillId="12" borderId="37" xfId="0" applyNumberFormat="1" applyFont="1" applyFill="1" applyBorder="1" applyAlignment="1">
      <alignment horizontal="right"/>
    </xf>
    <xf numFmtId="166" fontId="11" fillId="12" borderId="6" xfId="0" applyNumberFormat="1" applyFont="1" applyFill="1" applyBorder="1" applyAlignment="1">
      <alignment horizontal="left" vertical="center"/>
    </xf>
    <xf numFmtId="166" fontId="11" fillId="12" borderId="6" xfId="0" applyNumberFormat="1" applyFont="1" applyFill="1" applyBorder="1" applyAlignment="1">
      <alignment horizontal="right" vertical="center"/>
    </xf>
    <xf numFmtId="166" fontId="11" fillId="12" borderId="0" xfId="0" applyNumberFormat="1" applyFont="1" applyFill="1" applyBorder="1" applyAlignment="1">
      <alignment horizontal="right" vertical="center"/>
    </xf>
    <xf numFmtId="166" fontId="11" fillId="12" borderId="37" xfId="0" applyNumberFormat="1" applyFont="1" applyFill="1" applyBorder="1" applyAlignment="1">
      <alignment horizontal="right" vertical="center"/>
    </xf>
    <xf numFmtId="166" fontId="11" fillId="7" borderId="6" xfId="0" applyNumberFormat="1" applyFont="1" applyFill="1" applyBorder="1" applyAlignment="1">
      <alignment horizontal="left" vertical="center"/>
    </xf>
    <xf numFmtId="166" fontId="11" fillId="7" borderId="6" xfId="0" applyNumberFormat="1" applyFont="1" applyFill="1" applyBorder="1" applyAlignment="1">
      <alignment horizontal="right" vertical="center"/>
    </xf>
    <xf numFmtId="166" fontId="11" fillId="7" borderId="37" xfId="0" applyNumberFormat="1" applyFont="1" applyFill="1" applyBorder="1" applyAlignment="1">
      <alignment horizontal="right" vertical="center"/>
    </xf>
    <xf numFmtId="166" fontId="11" fillId="7" borderId="6" xfId="0" applyNumberFormat="1" applyFont="1" applyFill="1" applyBorder="1"/>
    <xf numFmtId="166" fontId="11" fillId="7" borderId="6" xfId="0" applyNumberFormat="1" applyFont="1" applyFill="1" applyBorder="1" applyAlignment="1">
      <alignment horizontal="right"/>
    </xf>
    <xf numFmtId="166" fontId="11" fillId="7" borderId="37" xfId="0" applyNumberFormat="1" applyFont="1" applyFill="1" applyBorder="1" applyAlignment="1">
      <alignment horizontal="right"/>
    </xf>
    <xf numFmtId="166" fontId="11" fillId="7" borderId="6" xfId="0" applyNumberFormat="1" applyFont="1" applyFill="1" applyBorder="1" applyAlignment="1">
      <alignment horizontal="left"/>
    </xf>
    <xf numFmtId="166" fontId="11" fillId="7" borderId="5" xfId="0" applyNumberFormat="1" applyFont="1" applyFill="1" applyBorder="1" applyAlignment="1">
      <alignment horizontal="left"/>
    </xf>
    <xf numFmtId="166" fontId="11" fillId="8" borderId="6" xfId="0" applyNumberFormat="1" applyFont="1" applyFill="1" applyBorder="1" applyAlignment="1">
      <alignment horizontal="left" vertical="center"/>
    </xf>
    <xf numFmtId="166" fontId="11" fillId="8" borderId="6" xfId="0" applyNumberFormat="1" applyFont="1" applyFill="1" applyBorder="1" applyAlignment="1">
      <alignment horizontal="right" vertical="center"/>
    </xf>
    <xf numFmtId="166" fontId="11" fillId="8" borderId="37" xfId="0" applyNumberFormat="1" applyFont="1" applyFill="1" applyBorder="1" applyAlignment="1">
      <alignment horizontal="right" vertical="center"/>
    </xf>
    <xf numFmtId="166" fontId="11" fillId="8" borderId="8" xfId="0" applyNumberFormat="1" applyFont="1" applyFill="1" applyBorder="1" applyAlignment="1">
      <alignment horizontal="left" vertical="center"/>
    </xf>
    <xf numFmtId="166" fontId="11" fillId="8" borderId="8" xfId="0" applyNumberFormat="1" applyFont="1" applyFill="1" applyBorder="1" applyAlignment="1">
      <alignment horizontal="right" vertical="center"/>
    </xf>
    <xf numFmtId="166" fontId="11" fillId="8" borderId="7" xfId="0" applyNumberFormat="1" applyFont="1" applyFill="1" applyBorder="1" applyAlignment="1">
      <alignment horizontal="right" vertical="center"/>
    </xf>
    <xf numFmtId="166" fontId="11" fillId="13" borderId="6" xfId="0" applyNumberFormat="1" applyFont="1" applyFill="1" applyBorder="1" applyAlignment="1">
      <alignment horizontal="left" vertical="center"/>
    </xf>
    <xf numFmtId="166" fontId="11" fillId="13" borderId="6" xfId="0" applyNumberFormat="1" applyFont="1" applyFill="1" applyBorder="1" applyAlignment="1">
      <alignment horizontal="right" vertical="center"/>
    </xf>
    <xf numFmtId="166" fontId="11" fillId="13" borderId="37" xfId="0" applyNumberFormat="1" applyFont="1" applyFill="1" applyBorder="1" applyAlignment="1">
      <alignment horizontal="right" vertical="center"/>
    </xf>
    <xf numFmtId="166" fontId="11" fillId="0" borderId="33" xfId="0" applyNumberFormat="1" applyFont="1" applyFill="1" applyBorder="1" applyAlignment="1">
      <alignment horizontal="left" vertical="center"/>
    </xf>
    <xf numFmtId="166" fontId="11" fillId="0" borderId="33" xfId="0" applyNumberFormat="1" applyFont="1" applyFill="1" applyBorder="1" applyAlignment="1">
      <alignment horizontal="right" vertical="center"/>
    </xf>
    <xf numFmtId="166" fontId="11" fillId="0" borderId="37" xfId="0" applyNumberFormat="1" applyFont="1" applyFill="1" applyBorder="1" applyAlignment="1">
      <alignment horizontal="right" vertical="center"/>
    </xf>
    <xf numFmtId="166" fontId="11" fillId="8" borderId="4" xfId="0" applyNumberFormat="1" applyFont="1" applyFill="1" applyBorder="1" applyAlignment="1">
      <alignment horizontal="right" vertical="center"/>
    </xf>
    <xf numFmtId="166" fontId="11" fillId="13" borderId="4" xfId="0" applyNumberFormat="1" applyFont="1" applyFill="1" applyBorder="1" applyAlignment="1">
      <alignment horizontal="right" vertical="center"/>
    </xf>
    <xf numFmtId="166" fontId="11" fillId="0" borderId="6" xfId="0" applyNumberFormat="1" applyFont="1" applyFill="1" applyBorder="1" applyAlignment="1">
      <alignment horizontal="left" vertical="center"/>
    </xf>
    <xf numFmtId="166" fontId="11" fillId="0" borderId="6" xfId="0" applyNumberFormat="1" applyFont="1" applyFill="1" applyBorder="1" applyAlignment="1">
      <alignment horizontal="right" vertical="center"/>
    </xf>
    <xf numFmtId="166" fontId="11" fillId="0" borderId="4" xfId="0" applyNumberFormat="1" applyFont="1" applyFill="1" applyBorder="1" applyAlignment="1">
      <alignment horizontal="right" vertical="center"/>
    </xf>
    <xf numFmtId="166" fontId="10" fillId="0" borderId="4" xfId="0" applyNumberFormat="1" applyFont="1" applyFill="1" applyBorder="1" applyAlignment="1">
      <alignment horizontal="right" vertical="center"/>
    </xf>
    <xf numFmtId="0" fontId="10" fillId="13" borderId="6" xfId="0" applyFont="1" applyFill="1" applyBorder="1" applyAlignment="1">
      <alignment horizontal="left"/>
    </xf>
    <xf numFmtId="0" fontId="33" fillId="16" borderId="33" xfId="0" applyFont="1" applyFill="1" applyBorder="1"/>
    <xf numFmtId="4" fontId="35" fillId="0" borderId="33" xfId="0" applyNumberFormat="1" applyFont="1" applyBorder="1" applyAlignment="1">
      <alignment horizontal="right" vertical="center"/>
    </xf>
    <xf numFmtId="4" fontId="23" fillId="0" borderId="0" xfId="0" applyNumberFormat="1" applyFont="1"/>
    <xf numFmtId="0" fontId="33" fillId="18" borderId="33" xfId="0" applyFont="1" applyFill="1" applyBorder="1"/>
    <xf numFmtId="0" fontId="36" fillId="18" borderId="33" xfId="0" applyFont="1" applyFill="1" applyBorder="1"/>
    <xf numFmtId="0" fontId="8" fillId="18" borderId="32" xfId="0" applyFont="1" applyFill="1" applyBorder="1" applyAlignment="1">
      <alignment vertical="center"/>
    </xf>
    <xf numFmtId="0" fontId="33" fillId="17" borderId="33" xfId="0" applyFont="1" applyFill="1" applyBorder="1"/>
    <xf numFmtId="49" fontId="9" fillId="0" borderId="13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10" fillId="17" borderId="32" xfId="0" applyFont="1" applyFill="1" applyBorder="1" applyAlignment="1">
      <alignment vertical="center"/>
    </xf>
    <xf numFmtId="49" fontId="8" fillId="0" borderId="33" xfId="0" applyNumberFormat="1" applyFont="1" applyFill="1" applyBorder="1" applyAlignment="1">
      <alignment horizontal="left" vertical="center"/>
    </xf>
    <xf numFmtId="0" fontId="39" fillId="17" borderId="33" xfId="0" applyFont="1" applyFill="1" applyBorder="1"/>
    <xf numFmtId="0" fontId="8" fillId="0" borderId="33" xfId="0" applyNumberFormat="1" applyFont="1" applyFill="1" applyBorder="1" applyAlignment="1">
      <alignment horizontal="left"/>
    </xf>
    <xf numFmtId="0" fontId="2" fillId="11" borderId="10" xfId="0" applyNumberFormat="1" applyFont="1" applyFill="1" applyBorder="1" applyAlignment="1">
      <alignment horizontal="center"/>
    </xf>
    <xf numFmtId="166" fontId="11" fillId="11" borderId="4" xfId="0" applyNumberFormat="1" applyFont="1" applyFill="1" applyBorder="1" applyAlignment="1">
      <alignment horizontal="right" vertical="center"/>
    </xf>
    <xf numFmtId="0" fontId="2" fillId="17" borderId="10" xfId="0" applyNumberFormat="1" applyFont="1" applyFill="1" applyBorder="1" applyAlignment="1">
      <alignment horizontal="center"/>
    </xf>
    <xf numFmtId="0" fontId="2" fillId="17" borderId="6" xfId="0" applyFont="1" applyFill="1" applyBorder="1"/>
    <xf numFmtId="14" fontId="13" fillId="17" borderId="10" xfId="0" applyNumberFormat="1" applyFont="1" applyFill="1" applyBorder="1" applyAlignment="1"/>
    <xf numFmtId="0" fontId="10" fillId="17" borderId="6" xfId="0" applyFont="1" applyFill="1" applyBorder="1" applyAlignment="1">
      <alignment horizontal="left"/>
    </xf>
    <xf numFmtId="166" fontId="11" fillId="17" borderId="6" xfId="0" applyNumberFormat="1" applyFont="1" applyFill="1" applyBorder="1" applyAlignment="1">
      <alignment horizontal="left" vertical="center"/>
    </xf>
    <xf numFmtId="166" fontId="11" fillId="17" borderId="6" xfId="0" applyNumberFormat="1" applyFont="1" applyFill="1" applyBorder="1" applyAlignment="1">
      <alignment horizontal="right" vertical="center"/>
    </xf>
    <xf numFmtId="166" fontId="11" fillId="17" borderId="37" xfId="0" applyNumberFormat="1" applyFont="1" applyFill="1" applyBorder="1" applyAlignment="1">
      <alignment horizontal="right" vertical="center"/>
    </xf>
    <xf numFmtId="0" fontId="10" fillId="17" borderId="6" xfId="0" applyNumberFormat="1" applyFont="1" applyFill="1" applyBorder="1" applyAlignment="1">
      <alignment horizontal="left"/>
    </xf>
    <xf numFmtId="166" fontId="11" fillId="17" borderId="6" xfId="0" applyNumberFormat="1" applyFont="1" applyFill="1" applyBorder="1" applyAlignment="1">
      <alignment horizontal="left"/>
    </xf>
    <xf numFmtId="166" fontId="11" fillId="17" borderId="6" xfId="0" applyNumberFormat="1" applyFont="1" applyFill="1" applyBorder="1" applyAlignment="1">
      <alignment horizontal="right"/>
    </xf>
    <xf numFmtId="166" fontId="11" fillId="17" borderId="37" xfId="0" applyNumberFormat="1" applyFont="1" applyFill="1" applyBorder="1" applyAlignment="1">
      <alignment horizontal="right"/>
    </xf>
    <xf numFmtId="166" fontId="11" fillId="17" borderId="4" xfId="0" applyNumberFormat="1" applyFont="1" applyFill="1" applyBorder="1" applyAlignment="1">
      <alignment horizontal="right" vertical="center"/>
    </xf>
    <xf numFmtId="166" fontId="40" fillId="0" borderId="0" xfId="0" applyNumberFormat="1" applyFont="1"/>
    <xf numFmtId="166" fontId="41" fillId="0" borderId="0" xfId="0" applyNumberFormat="1" applyFont="1"/>
    <xf numFmtId="166" fontId="17" fillId="0" borderId="38" xfId="0" applyNumberFormat="1" applyFont="1" applyFill="1" applyBorder="1" applyAlignment="1">
      <alignment horizontal="left" vertical="center"/>
    </xf>
    <xf numFmtId="166" fontId="17" fillId="0" borderId="14" xfId="0" applyNumberFormat="1" applyFont="1" applyFill="1" applyBorder="1" applyAlignment="1">
      <alignment horizontal="left" vertical="center"/>
    </xf>
    <xf numFmtId="166" fontId="40" fillId="2" borderId="47" xfId="1" applyNumberFormat="1" applyFont="1" applyFill="1" applyBorder="1"/>
    <xf numFmtId="166" fontId="40" fillId="2" borderId="42" xfId="0" applyNumberFormat="1" applyFont="1" applyFill="1" applyBorder="1" applyAlignment="1">
      <alignment horizontal="left" vertical="center"/>
    </xf>
    <xf numFmtId="166" fontId="40" fillId="2" borderId="42" xfId="0" applyNumberFormat="1" applyFont="1" applyFill="1" applyBorder="1" applyAlignment="1">
      <alignment horizontal="right" vertical="center"/>
    </xf>
    <xf numFmtId="166" fontId="40" fillId="2" borderId="47" xfId="0" applyNumberFormat="1" applyFont="1" applyFill="1" applyBorder="1"/>
    <xf numFmtId="166" fontId="40" fillId="2" borderId="42" xfId="1" applyNumberFormat="1" applyFont="1" applyFill="1" applyBorder="1"/>
    <xf numFmtId="166" fontId="40" fillId="2" borderId="42" xfId="0" applyNumberFormat="1" applyFont="1" applyFill="1" applyBorder="1"/>
    <xf numFmtId="166" fontId="40" fillId="11" borderId="47" xfId="0" applyNumberFormat="1" applyFont="1" applyFill="1" applyBorder="1"/>
    <xf numFmtId="166" fontId="40" fillId="11" borderId="42" xfId="1" applyNumberFormat="1" applyFont="1" applyFill="1" applyBorder="1"/>
    <xf numFmtId="166" fontId="40" fillId="12" borderId="47" xfId="1" applyNumberFormat="1" applyFont="1" applyFill="1" applyBorder="1"/>
    <xf numFmtId="166" fontId="40" fillId="12" borderId="42" xfId="0" applyNumberFormat="1" applyFont="1" applyFill="1" applyBorder="1"/>
    <xf numFmtId="166" fontId="40" fillId="12" borderId="45" xfId="0" applyNumberFormat="1" applyFont="1" applyFill="1" applyBorder="1"/>
    <xf numFmtId="166" fontId="40" fillId="12" borderId="42" xfId="1" applyNumberFormat="1" applyFont="1" applyFill="1" applyBorder="1"/>
    <xf numFmtId="166" fontId="40" fillId="12" borderId="47" xfId="0" applyNumberFormat="1" applyFont="1" applyFill="1" applyBorder="1"/>
    <xf numFmtId="166" fontId="40" fillId="17" borderId="47" xfId="0" applyNumberFormat="1" applyFont="1" applyFill="1" applyBorder="1"/>
    <xf numFmtId="166" fontId="40" fillId="17" borderId="42" xfId="1" applyNumberFormat="1" applyFont="1" applyFill="1" applyBorder="1"/>
    <xf numFmtId="166" fontId="40" fillId="7" borderId="47" xfId="1" applyNumberFormat="1" applyFont="1" applyFill="1" applyBorder="1"/>
    <xf numFmtId="166" fontId="40" fillId="7" borderId="42" xfId="1" applyNumberFormat="1" applyFont="1" applyFill="1" applyBorder="1"/>
    <xf numFmtId="166" fontId="42" fillId="7" borderId="27" xfId="0" applyNumberFormat="1" applyFont="1" applyFill="1" applyBorder="1"/>
    <xf numFmtId="166" fontId="40" fillId="7" borderId="47" xfId="0" applyNumberFormat="1" applyFont="1" applyFill="1" applyBorder="1"/>
    <xf numFmtId="166" fontId="40" fillId="8" borderId="47" xfId="0" applyNumberFormat="1" applyFont="1" applyFill="1" applyBorder="1"/>
    <xf numFmtId="166" fontId="40" fillId="8" borderId="42" xfId="1" applyNumberFormat="1" applyFont="1" applyFill="1" applyBorder="1"/>
    <xf numFmtId="166" fontId="40" fillId="8" borderId="47" xfId="1" applyNumberFormat="1" applyFont="1" applyFill="1" applyBorder="1"/>
    <xf numFmtId="166" fontId="40" fillId="17" borderId="47" xfId="1" applyNumberFormat="1" applyFont="1" applyFill="1" applyBorder="1"/>
    <xf numFmtId="166" fontId="40" fillId="8" borderId="31" xfId="1" applyNumberFormat="1" applyFont="1" applyFill="1" applyBorder="1"/>
    <xf numFmtId="166" fontId="40" fillId="17" borderId="31" xfId="1" applyNumberFormat="1" applyFont="1" applyFill="1" applyBorder="1"/>
    <xf numFmtId="166" fontId="40" fillId="13" borderId="47" xfId="0" applyNumberFormat="1" applyFont="1" applyFill="1" applyBorder="1"/>
    <xf numFmtId="166" fontId="40" fillId="13" borderId="42" xfId="1" applyNumberFormat="1" applyFont="1" applyFill="1" applyBorder="1"/>
    <xf numFmtId="166" fontId="40" fillId="13" borderId="31" xfId="1" applyNumberFormat="1" applyFont="1" applyFill="1" applyBorder="1"/>
    <xf numFmtId="166" fontId="40" fillId="11" borderId="31" xfId="1" applyNumberFormat="1" applyFont="1" applyFill="1" applyBorder="1"/>
    <xf numFmtId="166" fontId="40" fillId="0" borderId="48" xfId="1" applyNumberFormat="1" applyFont="1" applyFill="1" applyBorder="1"/>
    <xf numFmtId="166" fontId="40" fillId="0" borderId="25" xfId="1" applyNumberFormat="1" applyFont="1" applyFill="1" applyBorder="1"/>
    <xf numFmtId="166" fontId="40" fillId="0" borderId="49" xfId="1" applyNumberFormat="1" applyFont="1" applyFill="1" applyBorder="1"/>
    <xf numFmtId="166" fontId="40" fillId="0" borderId="43" xfId="1" applyNumberFormat="1" applyFont="1" applyFill="1" applyBorder="1"/>
    <xf numFmtId="166" fontId="40" fillId="3" borderId="39" xfId="0" applyNumberFormat="1" applyFont="1" applyFill="1" applyBorder="1"/>
    <xf numFmtId="166" fontId="40" fillId="3" borderId="40" xfId="0" applyNumberFormat="1" applyFont="1" applyFill="1" applyBorder="1"/>
    <xf numFmtId="166" fontId="42" fillId="0" borderId="0" xfId="0" applyNumberFormat="1" applyFont="1"/>
    <xf numFmtId="49" fontId="10" fillId="0" borderId="33" xfId="0" applyNumberFormat="1" applyFont="1" applyFill="1" applyBorder="1" applyAlignment="1">
      <alignment horizontal="center" vertical="center"/>
    </xf>
    <xf numFmtId="49" fontId="10" fillId="19" borderId="33" xfId="0" applyNumberFormat="1" applyFont="1" applyFill="1" applyBorder="1" applyAlignment="1">
      <alignment horizontal="center" vertical="center"/>
    </xf>
    <xf numFmtId="0" fontId="8" fillId="17" borderId="32" xfId="0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/>
    </xf>
    <xf numFmtId="0" fontId="37" fillId="18" borderId="33" xfId="0" applyFont="1" applyFill="1" applyBorder="1"/>
    <xf numFmtId="49" fontId="10" fillId="19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3" xfId="0" applyBorder="1"/>
    <xf numFmtId="0" fontId="0" fillId="0" borderId="6" xfId="0" applyBorder="1" applyAlignment="1">
      <alignment horizontal="left"/>
    </xf>
    <xf numFmtId="166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left" vertical="top"/>
    </xf>
    <xf numFmtId="49" fontId="17" fillId="0" borderId="8" xfId="0" applyNumberFormat="1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6" fillId="17" borderId="4" xfId="0" applyFont="1" applyFill="1" applyBorder="1"/>
    <xf numFmtId="0" fontId="36" fillId="17" borderId="54" xfId="0" applyFont="1" applyFill="1" applyBorder="1"/>
    <xf numFmtId="0" fontId="33" fillId="17" borderId="4" xfId="0" applyFont="1" applyFill="1" applyBorder="1"/>
    <xf numFmtId="0" fontId="33" fillId="17" borderId="54" xfId="0" applyFont="1" applyFill="1" applyBorder="1"/>
    <xf numFmtId="49" fontId="8" fillId="0" borderId="4" xfId="0" applyNumberFormat="1" applyFont="1" applyFill="1" applyBorder="1" applyAlignment="1">
      <alignment horizontal="left" vertical="center"/>
    </xf>
    <xf numFmtId="49" fontId="8" fillId="0" borderId="54" xfId="0" applyNumberFormat="1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horizontal="left" vertical="center"/>
    </xf>
    <xf numFmtId="49" fontId="10" fillId="0" borderId="54" xfId="0" applyNumberFormat="1" applyFont="1" applyFill="1" applyBorder="1" applyAlignment="1">
      <alignment horizontal="left" vertical="center"/>
    </xf>
    <xf numFmtId="49" fontId="10" fillId="19" borderId="4" xfId="0" applyNumberFormat="1" applyFont="1" applyFill="1" applyBorder="1" applyAlignment="1">
      <alignment horizontal="center" vertical="center"/>
    </xf>
    <xf numFmtId="49" fontId="10" fillId="19" borderId="5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/>
    </xf>
    <xf numFmtId="49" fontId="10" fillId="13" borderId="4" xfId="0" applyNumberFormat="1" applyFont="1" applyFill="1" applyBorder="1" applyAlignment="1">
      <alignment horizontal="left" vertical="center"/>
    </xf>
    <xf numFmtId="49" fontId="10" fillId="13" borderId="54" xfId="0" applyNumberFormat="1" applyFont="1" applyFill="1" applyBorder="1" applyAlignment="1">
      <alignment horizontal="left" vertical="center"/>
    </xf>
    <xf numFmtId="49" fontId="10" fillId="11" borderId="4" xfId="0" applyNumberFormat="1" applyFont="1" applyFill="1" applyBorder="1" applyAlignment="1">
      <alignment horizontal="left" vertical="center"/>
    </xf>
    <xf numFmtId="49" fontId="10" fillId="11" borderId="54" xfId="0" applyNumberFormat="1" applyFont="1" applyFill="1" applyBorder="1" applyAlignment="1">
      <alignment horizontal="left" vertical="center"/>
    </xf>
    <xf numFmtId="49" fontId="10" fillId="17" borderId="4" xfId="0" applyNumberFormat="1" applyFont="1" applyFill="1" applyBorder="1" applyAlignment="1">
      <alignment horizontal="center" vertical="center"/>
    </xf>
    <xf numFmtId="49" fontId="10" fillId="17" borderId="54" xfId="0" applyNumberFormat="1" applyFont="1" applyFill="1" applyBorder="1" applyAlignment="1">
      <alignment horizontal="center" vertical="center"/>
    </xf>
    <xf numFmtId="49" fontId="10" fillId="17" borderId="4" xfId="0" applyNumberFormat="1" applyFont="1" applyFill="1" applyBorder="1" applyAlignment="1">
      <alignment horizontal="left" vertical="center"/>
    </xf>
    <xf numFmtId="49" fontId="10" fillId="17" borderId="54" xfId="0" applyNumberFormat="1" applyFont="1" applyFill="1" applyBorder="1" applyAlignment="1">
      <alignment horizontal="left" vertical="center"/>
    </xf>
    <xf numFmtId="49" fontId="10" fillId="8" borderId="4" xfId="0" applyNumberFormat="1" applyFont="1" applyFill="1" applyBorder="1" applyAlignment="1">
      <alignment horizontal="left" vertical="center"/>
    </xf>
    <xf numFmtId="49" fontId="10" fillId="8" borderId="54" xfId="0" applyNumberFormat="1" applyFont="1" applyFill="1" applyBorder="1" applyAlignment="1">
      <alignment horizontal="left" vertical="center"/>
    </xf>
    <xf numFmtId="49" fontId="10" fillId="8" borderId="4" xfId="0" applyNumberFormat="1" applyFont="1" applyFill="1" applyBorder="1" applyAlignment="1">
      <alignment horizontal="center" vertical="center"/>
    </xf>
    <xf numFmtId="49" fontId="10" fillId="8" borderId="54" xfId="0" applyNumberFormat="1" applyFont="1" applyFill="1" applyBorder="1" applyAlignment="1">
      <alignment horizontal="center" vertical="center"/>
    </xf>
    <xf numFmtId="49" fontId="10" fillId="17" borderId="4" xfId="0" applyNumberFormat="1" applyFont="1" applyFill="1" applyBorder="1" applyAlignment="1">
      <alignment horizontal="left"/>
    </xf>
    <xf numFmtId="49" fontId="10" fillId="17" borderId="54" xfId="0" applyNumberFormat="1" applyFont="1" applyFill="1" applyBorder="1" applyAlignment="1">
      <alignment horizontal="left"/>
    </xf>
    <xf numFmtId="49" fontId="10" fillId="7" borderId="4" xfId="0" applyNumberFormat="1" applyFont="1" applyFill="1" applyBorder="1" applyAlignment="1">
      <alignment horizontal="left" vertical="center"/>
    </xf>
    <xf numFmtId="49" fontId="10" fillId="7" borderId="54" xfId="0" applyNumberFormat="1" applyFont="1" applyFill="1" applyBorder="1" applyAlignment="1">
      <alignment horizontal="left" vertical="center"/>
    </xf>
    <xf numFmtId="49" fontId="10" fillId="7" borderId="34" xfId="0" applyNumberFormat="1" applyFont="1" applyFill="1" applyBorder="1" applyAlignment="1">
      <alignment horizontal="left"/>
    </xf>
    <xf numFmtId="49" fontId="10" fillId="7" borderId="35" xfId="0" applyNumberFormat="1" applyFont="1" applyFill="1" applyBorder="1" applyAlignment="1">
      <alignment horizontal="left"/>
    </xf>
    <xf numFmtId="49" fontId="10" fillId="7" borderId="9" xfId="0" applyNumberFormat="1" applyFont="1" applyFill="1" applyBorder="1" applyAlignment="1">
      <alignment horizontal="left"/>
    </xf>
    <xf numFmtId="49" fontId="10" fillId="7" borderId="20" xfId="0" applyNumberFormat="1" applyFont="1" applyFill="1" applyBorder="1" applyAlignment="1">
      <alignment horizontal="left"/>
    </xf>
    <xf numFmtId="0" fontId="10" fillId="7" borderId="4" xfId="0" applyFont="1" applyFill="1" applyBorder="1"/>
    <xf numFmtId="0" fontId="10" fillId="7" borderId="54" xfId="0" applyFont="1" applyFill="1" applyBorder="1"/>
    <xf numFmtId="49" fontId="10" fillId="7" borderId="4" xfId="0" applyNumberFormat="1" applyFont="1" applyFill="1" applyBorder="1" applyAlignment="1">
      <alignment horizontal="left"/>
    </xf>
    <xf numFmtId="49" fontId="10" fillId="7" borderId="54" xfId="0" applyNumberFormat="1" applyFont="1" applyFill="1" applyBorder="1" applyAlignment="1">
      <alignment horizontal="left"/>
    </xf>
    <xf numFmtId="49" fontId="10" fillId="12" borderId="4" xfId="0" applyNumberFormat="1" applyFont="1" applyFill="1" applyBorder="1" applyAlignment="1">
      <alignment horizontal="left" vertical="center"/>
    </xf>
    <xf numFmtId="49" fontId="10" fillId="12" borderId="54" xfId="0" applyNumberFormat="1" applyFont="1" applyFill="1" applyBorder="1" applyAlignment="1">
      <alignment horizontal="left" vertical="center"/>
    </xf>
    <xf numFmtId="49" fontId="10" fillId="12" borderId="4" xfId="0" applyNumberFormat="1" applyFont="1" applyFill="1" applyBorder="1" applyAlignment="1">
      <alignment horizontal="left"/>
    </xf>
    <xf numFmtId="49" fontId="10" fillId="12" borderId="54" xfId="0" applyNumberFormat="1" applyFont="1" applyFill="1" applyBorder="1" applyAlignment="1">
      <alignment horizontal="left"/>
    </xf>
    <xf numFmtId="49" fontId="10" fillId="19" borderId="4" xfId="0" applyNumberFormat="1" applyFont="1" applyFill="1" applyBorder="1" applyAlignment="1">
      <alignment horizontal="center"/>
    </xf>
    <xf numFmtId="49" fontId="10" fillId="19" borderId="54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5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/>
    </xf>
    <xf numFmtId="49" fontId="10" fillId="2" borderId="54" xfId="0" applyNumberFormat="1" applyFont="1" applyFill="1" applyBorder="1" applyAlignment="1">
      <alignment horizontal="left"/>
    </xf>
    <xf numFmtId="166" fontId="9" fillId="0" borderId="13" xfId="0" applyNumberFormat="1" applyFont="1" applyFill="1" applyBorder="1" applyAlignment="1">
      <alignment horizontal="center" vertical="center" wrapText="1"/>
    </xf>
    <xf numFmtId="166" fontId="9" fillId="0" borderId="50" xfId="0" applyNumberFormat="1" applyFont="1" applyFill="1" applyBorder="1" applyAlignment="1">
      <alignment horizontal="center" vertical="center" wrapText="1"/>
    </xf>
    <xf numFmtId="166" fontId="9" fillId="0" borderId="30" xfId="0" applyNumberFormat="1" applyFont="1" applyFill="1" applyBorder="1" applyAlignment="1">
      <alignment horizontal="center" vertical="center" wrapText="1"/>
    </xf>
    <xf numFmtId="166" fontId="9" fillId="0" borderId="15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6" fontId="9" fillId="0" borderId="27" xfId="0" applyNumberFormat="1" applyFont="1" applyFill="1" applyBorder="1" applyAlignment="1">
      <alignment horizontal="center" vertical="center" wrapText="1"/>
    </xf>
    <xf numFmtId="166" fontId="9" fillId="0" borderId="29" xfId="0" applyNumberFormat="1" applyFont="1" applyFill="1" applyBorder="1" applyAlignment="1">
      <alignment horizontal="center" vertical="center" wrapText="1"/>
    </xf>
    <xf numFmtId="166" fontId="9" fillId="0" borderId="51" xfId="0" applyNumberFormat="1" applyFont="1" applyFill="1" applyBorder="1" applyAlignment="1">
      <alignment horizontal="center" vertical="center" wrapText="1"/>
    </xf>
    <xf numFmtId="166" fontId="9" fillId="0" borderId="28" xfId="0" applyNumberFormat="1" applyFont="1" applyFill="1" applyBorder="1" applyAlignment="1">
      <alignment horizontal="center" vertical="center" wrapText="1"/>
    </xf>
    <xf numFmtId="166" fontId="17" fillId="0" borderId="44" xfId="0" applyNumberFormat="1" applyFont="1" applyBorder="1" applyAlignment="1">
      <alignment horizontal="center" vertical="center"/>
    </xf>
    <xf numFmtId="166" fontId="17" fillId="0" borderId="45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17" fillId="0" borderId="30" xfId="0" applyNumberFormat="1" applyFont="1" applyBorder="1" applyAlignment="1">
      <alignment horizontal="center" vertical="center"/>
    </xf>
    <xf numFmtId="166" fontId="17" fillId="0" borderId="27" xfId="0" applyNumberFormat="1" applyFont="1" applyBorder="1" applyAlignment="1">
      <alignment horizontal="center" vertical="center"/>
    </xf>
    <xf numFmtId="166" fontId="17" fillId="0" borderId="41" xfId="0" applyNumberFormat="1" applyFont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10" fillId="2" borderId="53" xfId="0" applyNumberFormat="1" applyFont="1" applyFill="1" applyBorder="1" applyAlignment="1">
      <alignment horizontal="left" vertical="center"/>
    </xf>
    <xf numFmtId="49" fontId="10" fillId="2" borderId="24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0" fillId="0" borderId="11" xfId="0" applyBorder="1"/>
    <xf numFmtId="0" fontId="33" fillId="15" borderId="33" xfId="0" applyFont="1" applyFill="1" applyBorder="1" applyAlignment="1">
      <alignment horizontal="center" vertical="center"/>
    </xf>
    <xf numFmtId="0" fontId="34" fillId="15" borderId="33" xfId="0" applyFont="1" applyFill="1" applyBorder="1" applyAlignment="1">
      <alignment horizontal="center" vertical="center" wrapText="1"/>
    </xf>
    <xf numFmtId="0" fontId="34" fillId="15" borderId="33" xfId="0" applyFont="1" applyFill="1" applyBorder="1" applyAlignment="1">
      <alignment horizontal="center" vertical="center"/>
    </xf>
    <xf numFmtId="0" fontId="33" fillId="15" borderId="33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/>
    </xf>
    <xf numFmtId="0" fontId="29" fillId="15" borderId="33" xfId="0" applyFont="1" applyFill="1" applyBorder="1" applyAlignment="1">
      <alignment horizontal="center" vertical="center"/>
    </xf>
    <xf numFmtId="0" fontId="29" fillId="15" borderId="35" xfId="0" applyFont="1" applyFill="1" applyBorder="1" applyAlignment="1">
      <alignment horizontal="center" vertical="center" wrapText="1"/>
    </xf>
    <xf numFmtId="0" fontId="29" fillId="15" borderId="19" xfId="0" applyFont="1" applyFill="1" applyBorder="1" applyAlignment="1">
      <alignment horizontal="center" vertical="center" wrapText="1"/>
    </xf>
    <xf numFmtId="0" fontId="29" fillId="15" borderId="20" xfId="0" applyFont="1" applyFill="1" applyBorder="1" applyAlignment="1">
      <alignment horizontal="center" vertical="center" wrapText="1"/>
    </xf>
    <xf numFmtId="0" fontId="30" fillId="15" borderId="33" xfId="0" applyFont="1" applyFill="1" applyBorder="1" applyAlignment="1">
      <alignment horizontal="center" vertical="center" wrapText="1"/>
    </xf>
    <xf numFmtId="0" fontId="30" fillId="15" borderId="33" xfId="0" applyFont="1" applyFill="1" applyBorder="1" applyAlignment="1">
      <alignment horizontal="center" vertical="center"/>
    </xf>
    <xf numFmtId="0" fontId="31" fillId="15" borderId="33" xfId="0" applyFont="1" applyFill="1" applyBorder="1" applyAlignment="1">
      <alignment horizontal="center" vertical="center"/>
    </xf>
    <xf numFmtId="0" fontId="32" fillId="15" borderId="36" xfId="0" applyFont="1" applyFill="1" applyBorder="1" applyAlignment="1">
      <alignment horizontal="center" vertical="center" wrapText="1"/>
    </xf>
    <xf numFmtId="0" fontId="32" fillId="15" borderId="8" xfId="0" applyFont="1" applyFill="1" applyBorder="1" applyAlignment="1">
      <alignment horizontal="center" vertical="center"/>
    </xf>
    <xf numFmtId="0" fontId="32" fillId="15" borderId="1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/>
    </xf>
    <xf numFmtId="0" fontId="27" fillId="14" borderId="4" xfId="0" applyFont="1" applyFill="1" applyBorder="1" applyAlignment="1">
      <alignment horizontal="center"/>
    </xf>
    <xf numFmtId="0" fontId="27" fillId="14" borderId="5" xfId="0" applyFon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6" fontId="10" fillId="0" borderId="17" xfId="0" applyNumberFormat="1" applyFont="1" applyFill="1" applyBorder="1" applyAlignment="1">
      <alignment horizontal="right" vertical="center"/>
    </xf>
    <xf numFmtId="166" fontId="10" fillId="0" borderId="47" xfId="0" applyNumberFormat="1" applyFont="1" applyFill="1" applyBorder="1" applyAlignment="1">
      <alignment horizontal="right" vertical="center"/>
    </xf>
    <xf numFmtId="0" fontId="33" fillId="0" borderId="33" xfId="0" applyFont="1" applyBorder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74543</xdr:rowOff>
    </xdr:from>
    <xdr:to>
      <xdr:col>1</xdr:col>
      <xdr:colOff>1010478</xdr:colOff>
      <xdr:row>19</xdr:row>
      <xdr:rowOff>74543</xdr:rowOff>
    </xdr:to>
    <xdr:cxnSp macro="">
      <xdr:nvCxnSpPr>
        <xdr:cNvPr id="3" name="Conector recto de flecha 2"/>
        <xdr:cNvCxnSpPr/>
      </xdr:nvCxnSpPr>
      <xdr:spPr>
        <a:xfrm>
          <a:off x="952500" y="3884543"/>
          <a:ext cx="819978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115957</xdr:colOff>
      <xdr:row>22</xdr:row>
      <xdr:rowOff>149086</xdr:rowOff>
    </xdr:from>
    <xdr:to>
      <xdr:col>5</xdr:col>
      <xdr:colOff>215348</xdr:colOff>
      <xdr:row>25</xdr:row>
      <xdr:rowOff>115955</xdr:rowOff>
    </xdr:to>
    <xdr:sp macro="" textlink="">
      <xdr:nvSpPr>
        <xdr:cNvPr id="4" name="Cerrar llave 3"/>
        <xdr:cNvSpPr/>
      </xdr:nvSpPr>
      <xdr:spPr>
        <a:xfrm>
          <a:off x="3685761" y="4530586"/>
          <a:ext cx="99391" cy="538369"/>
        </a:xfrm>
        <a:prstGeom prst="rightBrac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285753</xdr:colOff>
      <xdr:row>53</xdr:row>
      <xdr:rowOff>65941</xdr:rowOff>
    </xdr:from>
    <xdr:to>
      <xdr:col>11</xdr:col>
      <xdr:colOff>542193</xdr:colOff>
      <xdr:row>55</xdr:row>
      <xdr:rowOff>153863</xdr:rowOff>
    </xdr:to>
    <xdr:sp macro="" textlink="">
      <xdr:nvSpPr>
        <xdr:cNvPr id="2" name="1 Abrir llave"/>
        <xdr:cNvSpPr/>
      </xdr:nvSpPr>
      <xdr:spPr>
        <a:xfrm rot="16200000">
          <a:off x="6634531" y="8700721"/>
          <a:ext cx="468922" cy="346563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23" zoomScale="115" zoomScaleNormal="115" workbookViewId="0">
      <selection activeCell="A39" sqref="A39"/>
    </sheetView>
  </sheetViews>
  <sheetFormatPr baseColWidth="10" defaultRowHeight="15" x14ac:dyDescent="0.25"/>
  <cols>
    <col min="1" max="1" width="11.42578125" customWidth="1"/>
    <col min="2" max="2" width="15.42578125" customWidth="1"/>
    <col min="3" max="3" width="14" customWidth="1"/>
    <col min="4" max="4" width="14.28515625" customWidth="1"/>
    <col min="5" max="5" width="13.5703125" customWidth="1"/>
    <col min="6" max="6" width="13.85546875" customWidth="1"/>
    <col min="7" max="9" width="12.42578125" customWidth="1"/>
    <col min="13" max="13" width="11.85546875" customWidth="1"/>
  </cols>
  <sheetData>
    <row r="1" spans="1:14" x14ac:dyDescent="0.25">
      <c r="A1" t="s">
        <v>71</v>
      </c>
    </row>
    <row r="3" spans="1:14" x14ac:dyDescent="0.25">
      <c r="B3" s="30" t="s">
        <v>72</v>
      </c>
      <c r="C3" s="30"/>
      <c r="D3" s="30" t="s">
        <v>73</v>
      </c>
    </row>
    <row r="4" spans="1:14" x14ac:dyDescent="0.25">
      <c r="B4" s="35">
        <f>SUM(DIARIO!Q11:Q50)</f>
        <v>369153.6</v>
      </c>
      <c r="C4" s="35"/>
      <c r="D4" s="35">
        <f>+DIARIO!R46</f>
        <v>11000</v>
      </c>
    </row>
    <row r="5" spans="1:14" x14ac:dyDescent="0.25">
      <c r="B5" s="34"/>
      <c r="C5" s="34"/>
      <c r="D5" s="34"/>
    </row>
    <row r="6" spans="1:14" x14ac:dyDescent="0.25">
      <c r="F6" t="s">
        <v>170</v>
      </c>
    </row>
    <row r="7" spans="1:14" x14ac:dyDescent="0.25">
      <c r="B7" s="30" t="s">
        <v>70</v>
      </c>
      <c r="C7" s="30"/>
      <c r="D7" s="30"/>
    </row>
    <row r="8" spans="1:14" ht="30" customHeight="1" x14ac:dyDescent="0.25">
      <c r="B8" s="378">
        <f>+B4-D4</f>
        <v>358153.6</v>
      </c>
      <c r="C8" s="378"/>
      <c r="D8" s="379"/>
      <c r="F8" s="379" t="s">
        <v>166</v>
      </c>
      <c r="G8" s="379" t="s">
        <v>102</v>
      </c>
      <c r="H8" s="381" t="s">
        <v>168</v>
      </c>
      <c r="I8" s="379" t="s">
        <v>108</v>
      </c>
      <c r="J8" s="379"/>
      <c r="K8" s="30" t="s">
        <v>107</v>
      </c>
      <c r="L8" s="381" t="s">
        <v>169</v>
      </c>
      <c r="M8" s="381"/>
    </row>
    <row r="9" spans="1:14" x14ac:dyDescent="0.25">
      <c r="B9" s="140"/>
      <c r="C9" s="140"/>
      <c r="D9" s="141"/>
      <c r="F9" s="379"/>
      <c r="G9" s="379"/>
      <c r="H9" s="381"/>
      <c r="I9" s="131" t="s">
        <v>167</v>
      </c>
      <c r="J9" s="131" t="s">
        <v>102</v>
      </c>
      <c r="K9" s="30"/>
      <c r="L9" s="142" t="s">
        <v>167</v>
      </c>
      <c r="M9" s="30" t="s">
        <v>102</v>
      </c>
    </row>
    <row r="10" spans="1:14" x14ac:dyDescent="0.25">
      <c r="F10" s="35">
        <v>4250</v>
      </c>
      <c r="G10" s="35">
        <f>+F10/11</f>
        <v>386.36363636363637</v>
      </c>
      <c r="H10" s="35">
        <f>+G10+F10</f>
        <v>4636.363636363636</v>
      </c>
      <c r="I10" s="35">
        <f>+F10*13%</f>
        <v>552.5</v>
      </c>
      <c r="J10" s="35">
        <f>+G10*13%</f>
        <v>50.227272727272734</v>
      </c>
      <c r="K10" s="35">
        <f>+H10*4%</f>
        <v>185.45454545454544</v>
      </c>
      <c r="L10" s="35">
        <f>+F10-I10</f>
        <v>3697.5</v>
      </c>
      <c r="M10" s="35">
        <f>+G10-J10</f>
        <v>336.13636363636363</v>
      </c>
      <c r="N10" s="34"/>
    </row>
    <row r="11" spans="1:14" x14ac:dyDescent="0.25">
      <c r="A11" t="s">
        <v>150</v>
      </c>
      <c r="I11" s="378">
        <f>SUM(I10:J10)</f>
        <v>602.72727272727275</v>
      </c>
      <c r="J11" s="379"/>
      <c r="L11" s="378">
        <f>+L10+M10</f>
        <v>4033.6363636363635</v>
      </c>
      <c r="M11" s="379"/>
    </row>
    <row r="13" spans="1:14" x14ac:dyDescent="0.25">
      <c r="B13" s="381" t="s">
        <v>158</v>
      </c>
      <c r="C13" s="380" t="s">
        <v>152</v>
      </c>
      <c r="D13" s="132" t="s">
        <v>151</v>
      </c>
    </row>
    <row r="14" spans="1:14" x14ac:dyDescent="0.25">
      <c r="B14" s="381"/>
      <c r="C14" s="380"/>
      <c r="D14" s="132">
        <v>11</v>
      </c>
    </row>
    <row r="15" spans="1:14" x14ac:dyDescent="0.25">
      <c r="B15" s="30" t="s">
        <v>107</v>
      </c>
      <c r="C15" s="35">
        <f>+DIARIO!O75</f>
        <v>185.45439999999999</v>
      </c>
      <c r="D15" s="133">
        <f>+C15/12*11</f>
        <v>169.99986666666666</v>
      </c>
    </row>
    <row r="16" spans="1:14" x14ac:dyDescent="0.25">
      <c r="B16" s="30" t="s">
        <v>108</v>
      </c>
      <c r="C16" s="35">
        <f>+DIARIO!O76</f>
        <v>602.72680000000003</v>
      </c>
      <c r="D16" s="133">
        <f>+C16/12*11</f>
        <v>552.49956666666674</v>
      </c>
    </row>
    <row r="17" spans="1:7" x14ac:dyDescent="0.25">
      <c r="D17" s="133">
        <f>+D15+D16</f>
        <v>722.4994333333334</v>
      </c>
    </row>
    <row r="20" spans="1:7" x14ac:dyDescent="0.25">
      <c r="A20" t="s">
        <v>159</v>
      </c>
      <c r="C20" t="s">
        <v>171</v>
      </c>
    </row>
    <row r="22" spans="1:7" x14ac:dyDescent="0.25">
      <c r="B22" s="377" t="s">
        <v>160</v>
      </c>
      <c r="C22" s="377"/>
      <c r="D22" s="377"/>
      <c r="E22" s="148">
        <f>+D15+D16</f>
        <v>722.4994333333334</v>
      </c>
    </row>
    <row r="23" spans="1:7" x14ac:dyDescent="0.25">
      <c r="B23" s="377" t="s">
        <v>161</v>
      </c>
      <c r="C23" s="377"/>
      <c r="D23" s="377"/>
      <c r="E23" s="149">
        <v>150</v>
      </c>
    </row>
    <row r="24" spans="1:7" x14ac:dyDescent="0.25">
      <c r="B24" s="377" t="s">
        <v>162</v>
      </c>
      <c r="C24" s="377"/>
      <c r="D24" s="377"/>
      <c r="E24" s="149">
        <v>80</v>
      </c>
      <c r="F24" s="34"/>
    </row>
    <row r="25" spans="1:7" x14ac:dyDescent="0.25">
      <c r="B25" s="377" t="s">
        <v>163</v>
      </c>
      <c r="C25" s="377"/>
      <c r="D25" s="377"/>
      <c r="E25" s="149">
        <v>760</v>
      </c>
      <c r="G25" s="150">
        <f>SUM(E23:E27)</f>
        <v>1152.9000000000001</v>
      </c>
    </row>
    <row r="26" spans="1:7" x14ac:dyDescent="0.25">
      <c r="B26" s="377" t="s">
        <v>164</v>
      </c>
      <c r="C26" s="377"/>
      <c r="D26" s="377"/>
      <c r="E26" s="149">
        <v>130</v>
      </c>
    </row>
    <row r="27" spans="1:7" x14ac:dyDescent="0.25">
      <c r="B27" s="377" t="s">
        <v>165</v>
      </c>
      <c r="C27" s="377"/>
      <c r="D27" s="377"/>
      <c r="E27" s="149">
        <v>32.9</v>
      </c>
      <c r="G27" s="151">
        <f>SUM(E23:E26)</f>
        <v>1120</v>
      </c>
    </row>
    <row r="28" spans="1:7" x14ac:dyDescent="0.25">
      <c r="E28" s="133">
        <f>SUM(E22:E27)</f>
        <v>1875.3994333333335</v>
      </c>
    </row>
    <row r="30" spans="1:7" x14ac:dyDescent="0.25">
      <c r="A30" t="s">
        <v>288</v>
      </c>
    </row>
    <row r="31" spans="1:7" ht="30" x14ac:dyDescent="0.25">
      <c r="B31" s="232"/>
      <c r="C31" s="232"/>
      <c r="D31" s="232" t="s">
        <v>291</v>
      </c>
      <c r="E31" s="233" t="s">
        <v>292</v>
      </c>
      <c r="F31" s="233" t="s">
        <v>293</v>
      </c>
      <c r="G31" s="233" t="s">
        <v>294</v>
      </c>
    </row>
    <row r="32" spans="1:7" x14ac:dyDescent="0.25">
      <c r="B32" s="232" t="s">
        <v>289</v>
      </c>
      <c r="C32" s="234">
        <f>+DIARIO!O42</f>
        <v>160000</v>
      </c>
      <c r="D32" s="235">
        <v>0.05</v>
      </c>
      <c r="E32" s="234">
        <f>+C32*D32</f>
        <v>8000</v>
      </c>
      <c r="F32" s="234">
        <f>+E32/12</f>
        <v>666.66666666666663</v>
      </c>
      <c r="G32" s="234">
        <f>+F32*5</f>
        <v>3333.333333333333</v>
      </c>
    </row>
    <row r="33" spans="1:7" x14ac:dyDescent="0.25">
      <c r="B33" s="232" t="s">
        <v>63</v>
      </c>
      <c r="C33" s="234">
        <f>+DIARIO!O43</f>
        <v>40000</v>
      </c>
      <c r="D33" s="235">
        <v>0.05</v>
      </c>
      <c r="E33" s="234">
        <f t="shared" ref="E33:E34" si="0">+C33*D33</f>
        <v>2000</v>
      </c>
      <c r="F33" s="234">
        <f t="shared" ref="F33:F34" si="1">+E33/12</f>
        <v>166.66666666666666</v>
      </c>
      <c r="G33" s="234">
        <f t="shared" ref="G33:G34" si="2">+F33*5</f>
        <v>833.33333333333326</v>
      </c>
    </row>
    <row r="34" spans="1:7" ht="45" x14ac:dyDescent="0.25">
      <c r="B34" s="233" t="s">
        <v>290</v>
      </c>
      <c r="C34" s="234">
        <f>+DIARIO!O45</f>
        <v>1200</v>
      </c>
      <c r="D34" s="235">
        <v>0.1</v>
      </c>
      <c r="E34" s="234">
        <f t="shared" si="0"/>
        <v>120</v>
      </c>
      <c r="F34" s="234">
        <f t="shared" si="1"/>
        <v>10</v>
      </c>
      <c r="G34" s="234">
        <f t="shared" si="2"/>
        <v>50</v>
      </c>
    </row>
    <row r="37" spans="1:7" x14ac:dyDescent="0.25">
      <c r="A37" t="s">
        <v>300</v>
      </c>
    </row>
  </sheetData>
  <mergeCells count="16">
    <mergeCell ref="L11:M11"/>
    <mergeCell ref="I11:J11"/>
    <mergeCell ref="I8:J8"/>
    <mergeCell ref="F8:F9"/>
    <mergeCell ref="G8:G9"/>
    <mergeCell ref="H8:H9"/>
    <mergeCell ref="L8:M8"/>
    <mergeCell ref="B24:D24"/>
    <mergeCell ref="B25:D25"/>
    <mergeCell ref="B26:D26"/>
    <mergeCell ref="B27:D27"/>
    <mergeCell ref="B8:D8"/>
    <mergeCell ref="C13:C14"/>
    <mergeCell ref="B13:B14"/>
    <mergeCell ref="B22:D22"/>
    <mergeCell ref="B23:D23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B1" workbookViewId="0">
      <selection activeCell="D8" sqref="D8"/>
    </sheetView>
  </sheetViews>
  <sheetFormatPr baseColWidth="10" defaultRowHeight="15" x14ac:dyDescent="0.25"/>
  <cols>
    <col min="1" max="1" width="15.5703125" style="64" customWidth="1"/>
    <col min="2" max="2" width="12.5703125" style="71" customWidth="1"/>
    <col min="3" max="3" width="30" style="64" customWidth="1"/>
    <col min="4" max="4" width="10.28515625" style="130" customWidth="1"/>
    <col min="5" max="5" width="27.140625" style="64" customWidth="1"/>
    <col min="6" max="6" width="17.7109375" style="64" customWidth="1"/>
    <col min="7" max="7" width="16.7109375" style="64" customWidth="1"/>
    <col min="8" max="8" width="3.140625" style="64" customWidth="1"/>
    <col min="9" max="9" width="5" style="64" customWidth="1"/>
    <col min="10" max="10" width="6" style="64" customWidth="1"/>
    <col min="11" max="16384" width="11.42578125" style="64"/>
  </cols>
  <sheetData>
    <row r="1" spans="1:8" ht="15.75" x14ac:dyDescent="0.25">
      <c r="A1" s="58" t="s">
        <v>1</v>
      </c>
      <c r="B1" s="65"/>
      <c r="C1" s="59"/>
      <c r="D1" s="136"/>
      <c r="E1" s="59"/>
      <c r="F1" s="63"/>
      <c r="G1" s="63"/>
    </row>
    <row r="2" spans="1:8" ht="15.75" x14ac:dyDescent="0.25">
      <c r="A2" s="58" t="s">
        <v>2</v>
      </c>
      <c r="B2" s="65"/>
      <c r="C2" s="59"/>
      <c r="D2" s="136"/>
      <c r="E2" s="59"/>
      <c r="F2" s="63"/>
      <c r="G2" s="63"/>
    </row>
    <row r="3" spans="1:8" ht="15.75" x14ac:dyDescent="0.25">
      <c r="A3" s="58" t="s">
        <v>3</v>
      </c>
      <c r="B3" s="65"/>
      <c r="C3" s="59"/>
      <c r="D3" s="136"/>
      <c r="E3" s="59"/>
      <c r="F3" s="63"/>
      <c r="G3" s="63"/>
    </row>
    <row r="4" spans="1:8" x14ac:dyDescent="0.25">
      <c r="A4" s="59"/>
      <c r="B4" s="66"/>
      <c r="C4" s="59"/>
      <c r="D4" s="136"/>
      <c r="E4" s="59"/>
      <c r="F4" s="63"/>
      <c r="G4" s="63"/>
    </row>
    <row r="5" spans="1:8" ht="26.25" customHeight="1" x14ac:dyDescent="0.25">
      <c r="A5" s="382" t="s">
        <v>74</v>
      </c>
      <c r="B5" s="382" t="s">
        <v>82</v>
      </c>
      <c r="C5" s="382" t="s">
        <v>83</v>
      </c>
      <c r="D5" s="134" t="s">
        <v>75</v>
      </c>
      <c r="E5" s="55"/>
      <c r="F5" s="56" t="s">
        <v>76</v>
      </c>
      <c r="G5" s="56"/>
    </row>
    <row r="6" spans="1:8" ht="38.25" customHeight="1" x14ac:dyDescent="0.25">
      <c r="A6" s="383"/>
      <c r="B6" s="383"/>
      <c r="C6" s="383"/>
      <c r="D6" s="135" t="s">
        <v>77</v>
      </c>
      <c r="E6" s="57" t="s">
        <v>78</v>
      </c>
      <c r="F6" s="57" t="s">
        <v>79</v>
      </c>
      <c r="G6" s="57" t="s">
        <v>80</v>
      </c>
    </row>
    <row r="7" spans="1:8" x14ac:dyDescent="0.25">
      <c r="A7" s="60"/>
      <c r="B7" s="67"/>
      <c r="C7" s="72" t="s">
        <v>121</v>
      </c>
      <c r="D7" s="137" t="s">
        <v>120</v>
      </c>
      <c r="E7" s="83" t="s">
        <v>121</v>
      </c>
      <c r="F7" s="82">
        <f>+DIARIO!P12</f>
        <v>8950</v>
      </c>
      <c r="G7" s="82"/>
    </row>
    <row r="8" spans="1:8" x14ac:dyDescent="0.25">
      <c r="A8" s="60"/>
      <c r="B8" s="67"/>
      <c r="C8" s="72"/>
      <c r="D8" s="137" t="s">
        <v>311</v>
      </c>
      <c r="E8" s="83" t="s">
        <v>315</v>
      </c>
      <c r="F8" s="82">
        <v>18592.439999999999</v>
      </c>
      <c r="G8" s="82"/>
    </row>
    <row r="9" spans="1:8" x14ac:dyDescent="0.25">
      <c r="A9" s="61"/>
      <c r="B9" s="68"/>
      <c r="C9" s="61"/>
      <c r="D9" s="137">
        <v>104</v>
      </c>
      <c r="E9" s="84" t="s">
        <v>122</v>
      </c>
      <c r="F9" s="82"/>
      <c r="G9" s="82">
        <v>6900</v>
      </c>
      <c r="H9" s="64">
        <v>1</v>
      </c>
    </row>
    <row r="10" spans="1:8" x14ac:dyDescent="0.25">
      <c r="A10" s="61"/>
      <c r="B10" s="68"/>
      <c r="C10" s="61"/>
      <c r="D10" s="137" t="s">
        <v>155</v>
      </c>
      <c r="E10" s="84" t="s">
        <v>122</v>
      </c>
      <c r="F10" s="82">
        <f>+BANCO!J15</f>
        <v>250</v>
      </c>
      <c r="G10" s="82"/>
      <c r="H10" s="64">
        <v>2</v>
      </c>
    </row>
    <row r="11" spans="1:8" x14ac:dyDescent="0.25">
      <c r="A11" s="61"/>
      <c r="B11" s="68"/>
      <c r="C11" s="61"/>
      <c r="D11" s="137" t="s">
        <v>307</v>
      </c>
      <c r="E11" s="84" t="s">
        <v>156</v>
      </c>
      <c r="F11" s="82"/>
      <c r="G11" s="82">
        <f>+'RESUMEN DE CAJA'!I5</f>
        <v>250</v>
      </c>
      <c r="H11" s="64">
        <v>2</v>
      </c>
    </row>
    <row r="12" spans="1:8" x14ac:dyDescent="0.25">
      <c r="A12" s="61"/>
      <c r="B12" s="68"/>
      <c r="C12" s="61"/>
      <c r="D12" s="137" t="s">
        <v>155</v>
      </c>
      <c r="E12" s="84" t="s">
        <v>122</v>
      </c>
      <c r="F12" s="82">
        <f>+BANCO!J16</f>
        <v>4033.6332000000002</v>
      </c>
      <c r="G12" s="82"/>
      <c r="H12" s="64">
        <v>3</v>
      </c>
    </row>
    <row r="13" spans="1:8" x14ac:dyDescent="0.25">
      <c r="A13" s="62"/>
      <c r="B13" s="69"/>
      <c r="C13" s="62"/>
      <c r="D13" s="137" t="s">
        <v>157</v>
      </c>
      <c r="E13" s="55" t="s">
        <v>100</v>
      </c>
      <c r="F13" s="82"/>
      <c r="G13" s="82">
        <f>+DIARIO!R79</f>
        <v>4033.6332000000002</v>
      </c>
      <c r="H13" s="64">
        <v>3</v>
      </c>
    </row>
    <row r="14" spans="1:8" x14ac:dyDescent="0.25">
      <c r="A14" s="62"/>
      <c r="B14" s="69"/>
      <c r="C14" s="62"/>
      <c r="D14" s="137"/>
      <c r="E14" s="55"/>
      <c r="F14" s="82"/>
      <c r="G14" s="82"/>
    </row>
    <row r="15" spans="1:8" x14ac:dyDescent="0.25">
      <c r="A15" s="62"/>
      <c r="B15" s="69"/>
      <c r="C15" s="62"/>
      <c r="D15" s="137"/>
      <c r="E15" s="55"/>
      <c r="F15" s="82"/>
      <c r="G15" s="82"/>
    </row>
    <row r="16" spans="1:8" x14ac:dyDescent="0.25">
      <c r="A16" s="62"/>
      <c r="B16" s="69"/>
      <c r="C16" s="62"/>
      <c r="D16" s="137"/>
      <c r="E16" s="55"/>
      <c r="F16" s="82"/>
      <c r="G16" s="82"/>
    </row>
    <row r="17" spans="1:7" x14ac:dyDescent="0.25">
      <c r="A17" s="62"/>
      <c r="B17" s="69"/>
      <c r="C17" s="62"/>
      <c r="D17" s="137"/>
      <c r="E17" s="55"/>
      <c r="F17" s="82"/>
      <c r="G17" s="82"/>
    </row>
    <row r="18" spans="1:7" x14ac:dyDescent="0.25">
      <c r="A18" s="62"/>
      <c r="B18" s="69"/>
      <c r="C18" s="62"/>
      <c r="D18" s="137"/>
      <c r="E18" s="55"/>
      <c r="F18" s="82"/>
      <c r="G18" s="82"/>
    </row>
    <row r="19" spans="1:7" x14ac:dyDescent="0.25">
      <c r="A19" s="62"/>
      <c r="B19" s="69"/>
      <c r="C19" s="62"/>
      <c r="D19" s="137"/>
      <c r="E19" s="55"/>
      <c r="F19" s="82"/>
      <c r="G19" s="82"/>
    </row>
    <row r="20" spans="1:7" x14ac:dyDescent="0.25">
      <c r="A20" s="62"/>
      <c r="B20" s="69"/>
      <c r="C20" s="62"/>
      <c r="D20" s="137"/>
      <c r="E20" s="55"/>
      <c r="F20" s="82"/>
      <c r="G20" s="82"/>
    </row>
    <row r="21" spans="1:7" x14ac:dyDescent="0.25">
      <c r="A21" s="62"/>
      <c r="B21" s="69"/>
      <c r="C21" s="62"/>
      <c r="D21" s="138"/>
      <c r="E21" s="55"/>
      <c r="F21" s="82"/>
      <c r="G21" s="82"/>
    </row>
    <row r="22" spans="1:7" x14ac:dyDescent="0.25">
      <c r="A22" s="63"/>
      <c r="B22" s="70"/>
      <c r="C22" s="63"/>
      <c r="D22" s="139"/>
      <c r="E22" s="73" t="s">
        <v>81</v>
      </c>
      <c r="F22" s="82">
        <f>SUM(F7:F21)</f>
        <v>31826.073199999999</v>
      </c>
      <c r="G22" s="82">
        <f>SUM(G7:G21)</f>
        <v>11183.6332</v>
      </c>
    </row>
    <row r="24" spans="1:7" x14ac:dyDescent="0.25">
      <c r="E24" s="64" t="s">
        <v>154</v>
      </c>
      <c r="F24" s="122">
        <f>+F22-G22</f>
        <v>20642.439999999999</v>
      </c>
    </row>
  </sheetData>
  <mergeCells count="3">
    <mergeCell ref="A5:A6"/>
    <mergeCell ref="B5:B6"/>
    <mergeCell ref="C5:C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topLeftCell="A7" zoomScaleNormal="100" workbookViewId="0">
      <selection activeCell="D23" sqref="D23"/>
    </sheetView>
  </sheetViews>
  <sheetFormatPr baseColWidth="10" defaultRowHeight="15" x14ac:dyDescent="0.25"/>
  <cols>
    <col min="1" max="1" width="4.28515625" customWidth="1"/>
    <col min="2" max="2" width="9.5703125" customWidth="1"/>
    <col min="3" max="3" width="5.7109375" customWidth="1"/>
    <col min="4" max="4" width="33.5703125" customWidth="1"/>
    <col min="5" max="5" width="14.85546875" style="34" customWidth="1"/>
    <col min="6" max="6" width="7.42578125" customWidth="1"/>
    <col min="7" max="7" width="5.5703125" customWidth="1"/>
    <col min="8" max="8" width="40.5703125" customWidth="1"/>
    <col min="9" max="9" width="13.42578125" style="34" customWidth="1"/>
    <col min="10" max="10" width="3.42578125" customWidth="1"/>
    <col min="12" max="12" width="11.7109375" bestFit="1" customWidth="1"/>
  </cols>
  <sheetData>
    <row r="2" spans="1:11" ht="15.75" thickBot="1" x14ac:dyDescent="0.3">
      <c r="B2" s="384" t="s">
        <v>30</v>
      </c>
      <c r="C2" s="384"/>
      <c r="D2" s="384"/>
      <c r="E2" s="384"/>
      <c r="F2" s="384"/>
      <c r="G2" s="384"/>
      <c r="H2" s="384"/>
      <c r="I2" s="384"/>
    </row>
    <row r="3" spans="1:11" ht="15.75" thickBot="1" x14ac:dyDescent="0.3">
      <c r="A3" t="s">
        <v>153</v>
      </c>
      <c r="B3" s="114" t="s">
        <v>144</v>
      </c>
      <c r="C3" s="117">
        <v>101</v>
      </c>
      <c r="D3" s="115" t="s">
        <v>146</v>
      </c>
      <c r="E3" s="119">
        <v>6900</v>
      </c>
      <c r="F3" s="114" t="s">
        <v>145</v>
      </c>
      <c r="G3" s="117">
        <v>104</v>
      </c>
      <c r="H3" s="115" t="s">
        <v>147</v>
      </c>
      <c r="I3" s="119">
        <f>+E3</f>
        <v>6900</v>
      </c>
      <c r="J3">
        <v>1</v>
      </c>
    </row>
    <row r="4" spans="1:11" ht="15.75" thickBot="1" x14ac:dyDescent="0.3">
      <c r="A4">
        <v>2</v>
      </c>
      <c r="B4" s="116" t="s">
        <v>144</v>
      </c>
      <c r="C4" s="113">
        <v>4511</v>
      </c>
      <c r="D4" s="30" t="s">
        <v>148</v>
      </c>
      <c r="E4" s="120" t="e">
        <f>+DIARIO!#REF!</f>
        <v>#REF!</v>
      </c>
      <c r="F4" s="114" t="s">
        <v>145</v>
      </c>
      <c r="G4" s="118">
        <v>104</v>
      </c>
      <c r="H4" s="30" t="s">
        <v>147</v>
      </c>
      <c r="I4" s="120" t="e">
        <f>+DIARIO!#REF!</f>
        <v>#REF!</v>
      </c>
      <c r="J4">
        <v>2</v>
      </c>
    </row>
    <row r="5" spans="1:11" ht="15.75" thickBot="1" x14ac:dyDescent="0.3">
      <c r="A5">
        <v>3</v>
      </c>
      <c r="B5" s="116" t="s">
        <v>144</v>
      </c>
      <c r="C5" s="113">
        <v>104</v>
      </c>
      <c r="D5" s="30" t="s">
        <v>84</v>
      </c>
      <c r="E5" s="120">
        <f>+DIARIO!Q57</f>
        <v>250</v>
      </c>
      <c r="F5" s="114" t="s">
        <v>145</v>
      </c>
      <c r="G5" s="118">
        <v>421</v>
      </c>
      <c r="H5" s="30" t="s">
        <v>67</v>
      </c>
      <c r="I5" s="120">
        <f>+E5</f>
        <v>250</v>
      </c>
      <c r="J5">
        <v>3</v>
      </c>
    </row>
    <row r="6" spans="1:11" ht="15.75" thickBot="1" x14ac:dyDescent="0.3">
      <c r="A6">
        <v>4</v>
      </c>
      <c r="B6" s="116" t="s">
        <v>144</v>
      </c>
      <c r="C6" s="113">
        <v>104</v>
      </c>
      <c r="D6" s="30" t="s">
        <v>84</v>
      </c>
      <c r="E6" s="120">
        <f>+DIARIO!R79</f>
        <v>4033.6332000000002</v>
      </c>
      <c r="F6" s="114" t="s">
        <v>145</v>
      </c>
      <c r="G6" s="118">
        <v>4111</v>
      </c>
      <c r="H6" s="30" t="s">
        <v>149</v>
      </c>
      <c r="I6" s="120">
        <f>+DIARIO!O81</f>
        <v>3697.5</v>
      </c>
      <c r="J6">
        <v>4</v>
      </c>
    </row>
    <row r="7" spans="1:11" ht="15.75" thickBot="1" x14ac:dyDescent="0.3">
      <c r="A7">
        <v>5</v>
      </c>
      <c r="B7" s="143" t="s">
        <v>144</v>
      </c>
      <c r="C7" s="144">
        <v>104</v>
      </c>
      <c r="D7" s="145" t="s">
        <v>84</v>
      </c>
      <c r="E7" s="146">
        <f>+'operaciones adicionales I'!E22</f>
        <v>722.4994333333334</v>
      </c>
      <c r="F7" s="114" t="s">
        <v>145</v>
      </c>
      <c r="G7" s="118">
        <v>4115</v>
      </c>
      <c r="H7" s="30" t="s">
        <v>111</v>
      </c>
      <c r="I7" s="120">
        <f>+DIARIO!O82</f>
        <v>336.13319999999999</v>
      </c>
      <c r="J7">
        <v>4</v>
      </c>
    </row>
    <row r="8" spans="1:11" ht="15.75" thickBot="1" x14ac:dyDescent="0.3">
      <c r="A8">
        <v>5</v>
      </c>
      <c r="B8" s="116" t="s">
        <v>144</v>
      </c>
      <c r="C8" s="113">
        <v>104</v>
      </c>
      <c r="D8" s="30" t="s">
        <v>172</v>
      </c>
      <c r="E8" s="120">
        <f>+'operaciones adicionales I'!G25</f>
        <v>1152.9000000000001</v>
      </c>
      <c r="F8" s="114" t="s">
        <v>145</v>
      </c>
      <c r="G8" s="147">
        <v>4031</v>
      </c>
      <c r="H8" s="145" t="s">
        <v>107</v>
      </c>
      <c r="I8" s="146">
        <f>+'operaciones adicionales I'!D15</f>
        <v>169.99986666666666</v>
      </c>
      <c r="J8">
        <v>5</v>
      </c>
    </row>
    <row r="9" spans="1:11" ht="15.75" thickBot="1" x14ac:dyDescent="0.3">
      <c r="A9">
        <v>6</v>
      </c>
      <c r="B9" s="116" t="s">
        <v>144</v>
      </c>
      <c r="C9" s="113">
        <v>121</v>
      </c>
      <c r="D9" s="30" t="s">
        <v>35</v>
      </c>
      <c r="E9" s="120" t="e">
        <f>+DIARIO!#REF!</f>
        <v>#REF!</v>
      </c>
      <c r="F9" s="114" t="s">
        <v>145</v>
      </c>
      <c r="G9" s="147">
        <v>4032</v>
      </c>
      <c r="H9" s="145" t="s">
        <v>108</v>
      </c>
      <c r="I9" s="146">
        <f>+'operaciones adicionales I'!D16</f>
        <v>552.49956666666674</v>
      </c>
      <c r="J9">
        <v>5</v>
      </c>
      <c r="K9" s="34"/>
    </row>
    <row r="10" spans="1:11" ht="15.75" thickBot="1" x14ac:dyDescent="0.3">
      <c r="A10">
        <v>6</v>
      </c>
      <c r="B10" s="116" t="s">
        <v>144</v>
      </c>
      <c r="C10" s="113">
        <v>123</v>
      </c>
      <c r="D10" s="30" t="s">
        <v>36</v>
      </c>
      <c r="E10" s="120" t="e">
        <f>+DIARIO!#REF!</f>
        <v>#REF!</v>
      </c>
      <c r="F10" s="114" t="s">
        <v>145</v>
      </c>
      <c r="G10" s="118">
        <v>4039</v>
      </c>
      <c r="H10" s="30" t="s">
        <v>173</v>
      </c>
      <c r="I10" s="153">
        <f>+'operaciones adicionales I'!E27</f>
        <v>32.9</v>
      </c>
      <c r="J10">
        <v>5</v>
      </c>
    </row>
    <row r="11" spans="1:11" ht="15.75" thickBot="1" x14ac:dyDescent="0.3">
      <c r="A11">
        <v>7</v>
      </c>
      <c r="B11" s="116" t="s">
        <v>144</v>
      </c>
      <c r="C11" s="113">
        <v>121</v>
      </c>
      <c r="D11" s="30" t="s">
        <v>35</v>
      </c>
      <c r="E11" s="120" t="e">
        <f>+DIARIO!#REF!</f>
        <v>#REF!</v>
      </c>
      <c r="F11" s="114" t="s">
        <v>145</v>
      </c>
      <c r="G11" s="118">
        <v>469</v>
      </c>
      <c r="H11" s="30" t="s">
        <v>174</v>
      </c>
      <c r="I11" s="152">
        <f>+'operaciones adicionales I'!G27</f>
        <v>1120</v>
      </c>
      <c r="J11">
        <v>5</v>
      </c>
    </row>
    <row r="12" spans="1:11" ht="15.75" thickBot="1" x14ac:dyDescent="0.3">
      <c r="A12">
        <v>8</v>
      </c>
      <c r="B12" s="116" t="s">
        <v>144</v>
      </c>
      <c r="C12" s="113">
        <v>104</v>
      </c>
      <c r="D12" s="30" t="s">
        <v>84</v>
      </c>
      <c r="E12" s="120" t="e">
        <f>+DIARIO!#REF!</f>
        <v>#REF!</v>
      </c>
      <c r="F12" s="114" t="s">
        <v>145</v>
      </c>
      <c r="G12" s="118">
        <v>104</v>
      </c>
      <c r="H12" s="30" t="s">
        <v>84</v>
      </c>
      <c r="I12" s="120" t="e">
        <f>+DIARIO!#REF!</f>
        <v>#REF!</v>
      </c>
      <c r="J12">
        <v>6</v>
      </c>
    </row>
    <row r="13" spans="1:11" ht="15.75" thickBot="1" x14ac:dyDescent="0.3">
      <c r="A13">
        <v>9</v>
      </c>
      <c r="B13" s="116" t="s">
        <v>144</v>
      </c>
      <c r="C13" s="113">
        <v>104</v>
      </c>
      <c r="D13" s="30" t="s">
        <v>84</v>
      </c>
      <c r="E13" s="120">
        <f>+DIARIO!Q131</f>
        <v>0</v>
      </c>
      <c r="F13" s="114" t="s">
        <v>145</v>
      </c>
      <c r="G13" s="154">
        <v>104</v>
      </c>
      <c r="H13" s="155" t="s">
        <v>84</v>
      </c>
      <c r="I13" s="156" t="e">
        <f>+DIARIO!#REF!</f>
        <v>#REF!</v>
      </c>
      <c r="J13">
        <v>7</v>
      </c>
      <c r="K13" s="157" t="s">
        <v>182</v>
      </c>
    </row>
    <row r="14" spans="1:11" ht="15.75" thickBot="1" x14ac:dyDescent="0.3">
      <c r="B14" s="116" t="s">
        <v>144</v>
      </c>
      <c r="C14" s="113"/>
      <c r="D14" s="30"/>
      <c r="E14" s="120"/>
      <c r="F14" s="114" t="s">
        <v>145</v>
      </c>
      <c r="G14" s="118">
        <v>451</v>
      </c>
      <c r="H14" s="30" t="s">
        <v>209</v>
      </c>
      <c r="I14" s="120">
        <f>+DIARIO!R123</f>
        <v>0</v>
      </c>
      <c r="J14">
        <v>8</v>
      </c>
    </row>
    <row r="15" spans="1:11" ht="15.75" thickBot="1" x14ac:dyDescent="0.3">
      <c r="B15" s="116" t="s">
        <v>144</v>
      </c>
      <c r="C15" s="113"/>
      <c r="D15" s="30"/>
      <c r="E15" s="120"/>
      <c r="F15" s="114" t="s">
        <v>145</v>
      </c>
      <c r="G15" s="118">
        <v>421</v>
      </c>
      <c r="H15" s="30" t="s">
        <v>67</v>
      </c>
      <c r="I15" s="120" t="e">
        <f>+DIARIO!#REF!</f>
        <v>#REF!</v>
      </c>
      <c r="J15">
        <v>9</v>
      </c>
    </row>
    <row r="16" spans="1:11" x14ac:dyDescent="0.25">
      <c r="B16" s="116" t="s">
        <v>144</v>
      </c>
      <c r="C16" s="113"/>
      <c r="D16" s="30"/>
      <c r="E16" s="120"/>
      <c r="F16" s="114" t="s">
        <v>145</v>
      </c>
      <c r="G16" s="118">
        <v>423</v>
      </c>
      <c r="H16" s="30" t="s">
        <v>68</v>
      </c>
      <c r="I16" s="120" t="e">
        <f>+DIARIO!#REF!</f>
        <v>#REF!</v>
      </c>
      <c r="J16">
        <v>9</v>
      </c>
    </row>
    <row r="17" spans="5:12" x14ac:dyDescent="0.25">
      <c r="E17" s="34" t="e">
        <f>SUM(E3:E16)</f>
        <v>#REF!</v>
      </c>
      <c r="I17" s="34" t="e">
        <f>SUM(I3:I16)</f>
        <v>#REF!</v>
      </c>
      <c r="L17" s="121"/>
    </row>
    <row r="18" spans="5:12" x14ac:dyDescent="0.25">
      <c r="L18" s="121"/>
    </row>
  </sheetData>
  <mergeCells count="1">
    <mergeCell ref="B2:I2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D11" zoomScale="115" zoomScaleNormal="115" workbookViewId="0">
      <selection activeCell="H17" sqref="H17"/>
    </sheetView>
  </sheetViews>
  <sheetFormatPr baseColWidth="10" defaultRowHeight="15" x14ac:dyDescent="0.25"/>
  <cols>
    <col min="2" max="2" width="13.140625" customWidth="1"/>
    <col min="3" max="3" width="12.7109375" customWidth="1"/>
    <col min="4" max="4" width="12.5703125" customWidth="1"/>
    <col min="5" max="5" width="13.5703125" customWidth="1"/>
    <col min="6" max="6" width="15" customWidth="1"/>
    <col min="7" max="7" width="10.28515625" style="130" customWidth="1"/>
    <col min="8" max="8" width="32.42578125" customWidth="1"/>
    <col min="9" max="9" width="15.140625" customWidth="1"/>
    <col min="10" max="10" width="14.85546875" customWidth="1"/>
    <col min="11" max="11" width="3.42578125" customWidth="1"/>
  </cols>
  <sheetData>
    <row r="1" spans="1:10" ht="23.25" x14ac:dyDescent="0.35">
      <c r="A1" s="85" t="s">
        <v>123</v>
      </c>
      <c r="B1" s="85"/>
      <c r="C1" s="86"/>
      <c r="D1" s="86"/>
      <c r="E1" s="86"/>
      <c r="F1" s="86"/>
      <c r="G1" s="125"/>
      <c r="H1" s="86"/>
    </row>
    <row r="2" spans="1:10" ht="23.25" x14ac:dyDescent="0.35">
      <c r="A2" s="87"/>
      <c r="B2" s="85"/>
      <c r="C2" s="86"/>
      <c r="D2" s="86"/>
      <c r="E2" s="86"/>
      <c r="F2" s="86"/>
      <c r="G2" s="125"/>
      <c r="H2" s="86"/>
    </row>
    <row r="3" spans="1:10" ht="15.75" x14ac:dyDescent="0.25">
      <c r="A3" s="87" t="s">
        <v>1</v>
      </c>
      <c r="B3" s="87"/>
      <c r="C3" s="88"/>
      <c r="D3" s="88"/>
      <c r="E3" s="88"/>
      <c r="F3" s="88"/>
      <c r="G3" s="126"/>
      <c r="H3" s="88"/>
    </row>
    <row r="4" spans="1:10" ht="15.75" x14ac:dyDescent="0.25">
      <c r="A4" s="87" t="s">
        <v>2</v>
      </c>
      <c r="B4" s="87"/>
      <c r="C4" s="88"/>
      <c r="D4" s="88"/>
      <c r="E4" s="88"/>
      <c r="F4" s="88"/>
      <c r="G4" s="126"/>
      <c r="H4" s="88"/>
    </row>
    <row r="5" spans="1:10" ht="15.75" x14ac:dyDescent="0.25">
      <c r="A5" s="87" t="s">
        <v>3</v>
      </c>
      <c r="B5" s="87"/>
      <c r="C5" s="88"/>
      <c r="D5" s="88"/>
      <c r="E5" s="88"/>
      <c r="F5" s="88"/>
      <c r="G5" s="126"/>
      <c r="H5" s="88"/>
    </row>
    <row r="6" spans="1:10" ht="15.75" x14ac:dyDescent="0.25">
      <c r="A6" s="87" t="s">
        <v>124</v>
      </c>
      <c r="B6" s="87"/>
      <c r="C6" s="88"/>
      <c r="D6" s="88"/>
      <c r="E6" s="88"/>
      <c r="F6" s="88"/>
      <c r="G6" s="126"/>
      <c r="H6" s="88"/>
    </row>
    <row r="7" spans="1:10" ht="15.75" x14ac:dyDescent="0.25">
      <c r="A7" s="87" t="s">
        <v>125</v>
      </c>
      <c r="B7" s="87"/>
      <c r="C7" s="88"/>
      <c r="D7" s="88"/>
      <c r="E7" s="88"/>
      <c r="F7" s="88"/>
      <c r="G7" s="126"/>
      <c r="H7" s="88"/>
    </row>
    <row r="8" spans="1:10" x14ac:dyDescent="0.25">
      <c r="A8" s="88"/>
      <c r="B8" s="88"/>
      <c r="C8" s="88"/>
      <c r="D8" s="88"/>
      <c r="E8" s="88"/>
      <c r="F8" s="88"/>
      <c r="G8" s="126"/>
      <c r="H8" s="88"/>
    </row>
    <row r="9" spans="1:10" ht="39" x14ac:dyDescent="0.25">
      <c r="A9" s="89" t="s">
        <v>126</v>
      </c>
      <c r="B9" s="90"/>
      <c r="C9" s="91" t="s">
        <v>127</v>
      </c>
      <c r="D9" s="91"/>
      <c r="E9" s="91"/>
      <c r="F9" s="92"/>
      <c r="G9" s="127" t="s">
        <v>128</v>
      </c>
      <c r="H9" s="93"/>
      <c r="I9" s="387" t="s">
        <v>142</v>
      </c>
      <c r="J9" s="388"/>
    </row>
    <row r="10" spans="1:10" ht="78" customHeight="1" x14ac:dyDescent="0.25">
      <c r="A10" s="94" t="s">
        <v>129</v>
      </c>
      <c r="B10" s="386" t="s">
        <v>141</v>
      </c>
      <c r="C10" s="109" t="s">
        <v>140</v>
      </c>
      <c r="D10" s="385" t="s">
        <v>139</v>
      </c>
      <c r="E10" s="395" t="s">
        <v>138</v>
      </c>
      <c r="F10" s="393" t="s">
        <v>137</v>
      </c>
      <c r="G10" s="391" t="s">
        <v>134</v>
      </c>
      <c r="H10" s="389" t="s">
        <v>132</v>
      </c>
      <c r="I10" s="389" t="s">
        <v>135</v>
      </c>
      <c r="J10" s="389" t="s">
        <v>136</v>
      </c>
    </row>
    <row r="11" spans="1:10" ht="51" x14ac:dyDescent="0.25">
      <c r="A11" s="96" t="s">
        <v>130</v>
      </c>
      <c r="B11" s="386"/>
      <c r="C11" s="95" t="s">
        <v>131</v>
      </c>
      <c r="D11" s="386"/>
      <c r="E11" s="396"/>
      <c r="F11" s="394"/>
      <c r="G11" s="392"/>
      <c r="H11" s="390"/>
      <c r="I11" s="390"/>
      <c r="J11" s="390"/>
    </row>
    <row r="12" spans="1:10" x14ac:dyDescent="0.25">
      <c r="A12" s="97"/>
      <c r="B12" s="98"/>
      <c r="C12" s="99"/>
      <c r="D12" s="99"/>
      <c r="E12" s="99"/>
      <c r="F12" s="100"/>
      <c r="G12" s="123"/>
      <c r="H12" s="101"/>
      <c r="I12" s="102"/>
      <c r="J12" s="103"/>
    </row>
    <row r="13" spans="1:10" x14ac:dyDescent="0.25">
      <c r="A13" s="97"/>
      <c r="B13" s="98"/>
      <c r="C13" s="99"/>
      <c r="D13" s="99"/>
      <c r="E13" s="99"/>
      <c r="F13" s="100"/>
      <c r="G13" s="124">
        <v>104</v>
      </c>
      <c r="H13" s="101" t="s">
        <v>143</v>
      </c>
      <c r="I13" s="110">
        <f>+DIARIO!P13</f>
        <v>30000</v>
      </c>
      <c r="J13" s="111"/>
    </row>
    <row r="14" spans="1:10" x14ac:dyDescent="0.25">
      <c r="A14" s="97"/>
      <c r="B14" s="98"/>
      <c r="C14" s="99"/>
      <c r="D14" s="99"/>
      <c r="E14" s="99"/>
      <c r="F14" s="100"/>
      <c r="G14" s="124" t="s">
        <v>120</v>
      </c>
      <c r="H14" s="101" t="s">
        <v>30</v>
      </c>
      <c r="I14" s="110">
        <v>18592.439999999999</v>
      </c>
      <c r="J14" s="111"/>
    </row>
    <row r="15" spans="1:10" x14ac:dyDescent="0.25">
      <c r="A15" s="104"/>
      <c r="B15" s="104"/>
      <c r="C15" s="105"/>
      <c r="D15" s="105"/>
      <c r="E15" s="105"/>
      <c r="F15" s="105"/>
      <c r="G15" s="128" t="s">
        <v>120</v>
      </c>
      <c r="H15" s="97" t="s">
        <v>30</v>
      </c>
      <c r="I15" s="112"/>
      <c r="J15" s="112">
        <v>250</v>
      </c>
    </row>
    <row r="16" spans="1:10" x14ac:dyDescent="0.25">
      <c r="A16" s="106"/>
      <c r="B16" s="106"/>
      <c r="C16" s="106"/>
      <c r="D16" s="106"/>
      <c r="E16" s="106"/>
      <c r="F16" s="106"/>
      <c r="G16" s="129" t="s">
        <v>120</v>
      </c>
      <c r="H16" s="106" t="s">
        <v>30</v>
      </c>
      <c r="I16" s="35"/>
      <c r="J16" s="35">
        <f>+DIARIO!R79</f>
        <v>4033.6332000000002</v>
      </c>
    </row>
    <row r="17" spans="1:10" x14ac:dyDescent="0.25">
      <c r="A17" s="106"/>
      <c r="B17" s="106"/>
      <c r="C17" s="106"/>
      <c r="D17" s="106"/>
      <c r="E17" s="106"/>
      <c r="F17" s="106"/>
      <c r="G17" s="137" t="s">
        <v>308</v>
      </c>
      <c r="H17" s="55" t="s">
        <v>156</v>
      </c>
      <c r="I17" s="82">
        <v>12800</v>
      </c>
      <c r="J17" s="35"/>
    </row>
    <row r="18" spans="1:10" x14ac:dyDescent="0.25">
      <c r="A18" s="106"/>
      <c r="B18" s="106"/>
      <c r="C18" s="106"/>
      <c r="D18" s="106"/>
      <c r="E18" s="106"/>
      <c r="F18" s="106"/>
      <c r="G18" s="137" t="s">
        <v>309</v>
      </c>
      <c r="H18" s="55" t="s">
        <v>310</v>
      </c>
      <c r="I18" s="82">
        <v>9500</v>
      </c>
      <c r="J18" s="35"/>
    </row>
    <row r="19" spans="1:10" x14ac:dyDescent="0.25">
      <c r="A19" s="106"/>
      <c r="B19" s="106"/>
      <c r="C19" s="106"/>
      <c r="D19" s="106"/>
      <c r="E19" s="106"/>
      <c r="F19" s="106"/>
      <c r="G19" s="137" t="s">
        <v>308</v>
      </c>
      <c r="H19" s="55" t="s">
        <v>333</v>
      </c>
      <c r="I19" s="82">
        <v>35000</v>
      </c>
      <c r="J19" s="35"/>
    </row>
    <row r="20" spans="1:10" x14ac:dyDescent="0.25">
      <c r="A20" s="106"/>
      <c r="B20" s="106"/>
      <c r="C20" s="106"/>
      <c r="D20" s="106"/>
      <c r="E20" s="106"/>
      <c r="F20" s="106"/>
      <c r="G20" s="137" t="s">
        <v>311</v>
      </c>
      <c r="H20" s="55" t="s">
        <v>312</v>
      </c>
      <c r="I20" s="82"/>
      <c r="J20" s="35">
        <v>20000</v>
      </c>
    </row>
    <row r="21" spans="1:10" x14ac:dyDescent="0.25">
      <c r="A21" s="106"/>
      <c r="B21" s="106"/>
      <c r="C21" s="106"/>
      <c r="D21" s="106"/>
      <c r="E21" s="106"/>
      <c r="F21" s="106"/>
      <c r="G21" s="124" t="s">
        <v>313</v>
      </c>
      <c r="H21" s="101" t="s">
        <v>314</v>
      </c>
      <c r="I21" s="110">
        <v>1407.56</v>
      </c>
      <c r="J21" s="35"/>
    </row>
    <row r="22" spans="1:10" x14ac:dyDescent="0.25">
      <c r="A22" s="106"/>
      <c r="B22" s="106"/>
      <c r="C22" s="106"/>
      <c r="D22" s="106"/>
      <c r="E22" s="106"/>
      <c r="F22" s="106"/>
      <c r="G22" s="137" t="s">
        <v>307</v>
      </c>
      <c r="H22" s="55" t="s">
        <v>156</v>
      </c>
      <c r="I22" s="82"/>
      <c r="J22" s="35">
        <v>5000</v>
      </c>
    </row>
    <row r="23" spans="1:10" x14ac:dyDescent="0.25">
      <c r="A23" s="106"/>
      <c r="B23" s="106"/>
      <c r="C23" s="106"/>
      <c r="D23" s="106"/>
      <c r="E23" s="106"/>
      <c r="F23" s="106"/>
      <c r="G23" s="137" t="s">
        <v>316</v>
      </c>
      <c r="H23" s="55" t="s">
        <v>310</v>
      </c>
      <c r="I23" s="82"/>
      <c r="J23" s="35">
        <v>6000</v>
      </c>
    </row>
    <row r="24" spans="1:10" x14ac:dyDescent="0.25">
      <c r="A24" s="106"/>
      <c r="B24" s="106"/>
      <c r="C24" s="106"/>
      <c r="D24" s="106"/>
      <c r="E24" s="106"/>
      <c r="F24" s="106"/>
      <c r="G24" s="137" t="s">
        <v>317</v>
      </c>
      <c r="H24" s="55" t="s">
        <v>318</v>
      </c>
      <c r="I24" s="82"/>
      <c r="J24" s="35">
        <v>50</v>
      </c>
    </row>
    <row r="25" spans="1:10" x14ac:dyDescent="0.25">
      <c r="A25" s="106"/>
      <c r="B25" s="106"/>
      <c r="C25" s="106"/>
      <c r="D25" s="106"/>
      <c r="E25" s="106"/>
      <c r="F25" s="106"/>
      <c r="G25" s="129"/>
      <c r="H25" s="106"/>
      <c r="I25" s="35"/>
      <c r="J25" s="35"/>
    </row>
    <row r="26" spans="1:10" x14ac:dyDescent="0.25">
      <c r="A26" s="106"/>
      <c r="B26" s="106"/>
      <c r="C26" s="106"/>
      <c r="D26" s="106"/>
      <c r="E26" s="106"/>
      <c r="F26" s="106"/>
      <c r="G26" s="129"/>
      <c r="H26" s="106"/>
      <c r="I26" s="35"/>
      <c r="J26" s="35"/>
    </row>
    <row r="27" spans="1:10" x14ac:dyDescent="0.25">
      <c r="A27" s="106"/>
      <c r="B27" s="106"/>
      <c r="C27" s="106"/>
      <c r="D27" s="106"/>
      <c r="E27" s="106"/>
      <c r="F27" s="106"/>
      <c r="G27" s="129"/>
      <c r="H27" s="106"/>
      <c r="I27" s="35"/>
      <c r="J27" s="35"/>
    </row>
    <row r="28" spans="1:10" ht="15.75" x14ac:dyDescent="0.25">
      <c r="F28" s="107"/>
      <c r="H28" s="108" t="s">
        <v>133</v>
      </c>
      <c r="I28" s="35">
        <f>SUM(I13:I27)</f>
        <v>107300</v>
      </c>
      <c r="J28" s="35">
        <f>SUM(J13:J27)</f>
        <v>35333.633199999997</v>
      </c>
    </row>
    <row r="30" spans="1:10" x14ac:dyDescent="0.25">
      <c r="H30" t="s">
        <v>154</v>
      </c>
      <c r="I30" s="34">
        <f>+I28-J28</f>
        <v>71966.366800000003</v>
      </c>
    </row>
  </sheetData>
  <mergeCells count="9">
    <mergeCell ref="D10:D11"/>
    <mergeCell ref="B10:B11"/>
    <mergeCell ref="I9:J9"/>
    <mergeCell ref="I10:I11"/>
    <mergeCell ref="J10:J11"/>
    <mergeCell ref="H10:H11"/>
    <mergeCell ref="G10:G11"/>
    <mergeCell ref="F10:F11"/>
    <mergeCell ref="E10:E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5"/>
  <sheetViews>
    <sheetView topLeftCell="G73" zoomScale="130" zoomScaleNormal="130" workbookViewId="0">
      <selection activeCell="L415" sqref="L415"/>
    </sheetView>
  </sheetViews>
  <sheetFormatPr baseColWidth="10" defaultRowHeight="15" x14ac:dyDescent="0.25"/>
  <cols>
    <col min="1" max="1" width="11.7109375" hidden="1" customWidth="1"/>
    <col min="2" max="2" width="11.85546875" hidden="1" customWidth="1"/>
    <col min="3" max="3" width="35.42578125" hidden="1" customWidth="1"/>
    <col min="4" max="6" width="11.42578125" hidden="1" customWidth="1"/>
    <col min="7" max="7" width="3.28515625" customWidth="1"/>
    <col min="8" max="8" width="5.42578125" customWidth="1"/>
    <col min="9" max="9" width="4.5703125" customWidth="1"/>
    <col min="10" max="10" width="5.28515625" customWidth="1"/>
    <col min="11" max="11" width="7.42578125" customWidth="1"/>
    <col min="12" max="12" width="44.42578125" customWidth="1"/>
    <col min="13" max="13" width="8.85546875" customWidth="1"/>
    <col min="14" max="14" width="9.140625" style="34" customWidth="1"/>
    <col min="15" max="15" width="11" style="80" customWidth="1"/>
    <col min="16" max="16" width="10.7109375" style="80" customWidth="1"/>
    <col min="17" max="17" width="13.85546875" style="366" bestFit="1" customWidth="1"/>
    <col min="18" max="18" width="13.140625" style="366" bestFit="1" customWidth="1"/>
    <col min="19" max="19" width="13.7109375" bestFit="1" customWidth="1"/>
    <col min="20" max="20" width="12.5703125" bestFit="1" customWidth="1"/>
  </cols>
  <sheetData>
    <row r="1" spans="1:18" x14ac:dyDescent="0.25">
      <c r="A1" s="1" t="s">
        <v>0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74"/>
      <c r="O1" s="77"/>
      <c r="P1" s="77"/>
      <c r="Q1" s="327"/>
      <c r="R1" s="327"/>
    </row>
    <row r="2" spans="1:18" x14ac:dyDescent="0.25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74"/>
      <c r="O2" s="77"/>
      <c r="P2" s="77"/>
      <c r="Q2" s="327"/>
      <c r="R2" s="327"/>
    </row>
    <row r="3" spans="1:18" x14ac:dyDescent="0.25">
      <c r="A3" s="1" t="s">
        <v>1</v>
      </c>
      <c r="B3" s="4"/>
      <c r="C3" s="1"/>
      <c r="D3" s="5"/>
      <c r="E3" s="6"/>
      <c r="F3" s="6"/>
      <c r="G3" s="6"/>
      <c r="H3" s="6"/>
      <c r="I3" s="6"/>
      <c r="J3" s="6"/>
      <c r="K3" s="6"/>
      <c r="L3" s="6"/>
      <c r="M3" s="6"/>
      <c r="N3" s="75"/>
      <c r="O3" s="78"/>
      <c r="P3" s="78"/>
      <c r="Q3" s="328"/>
      <c r="R3" s="327"/>
    </row>
    <row r="4" spans="1:18" x14ac:dyDescent="0.25">
      <c r="A4" s="1" t="s">
        <v>2</v>
      </c>
      <c r="B4" s="4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74"/>
      <c r="O4" s="77"/>
      <c r="P4" s="77"/>
      <c r="Q4" s="327"/>
      <c r="R4" s="327"/>
    </row>
    <row r="5" spans="1:18" x14ac:dyDescent="0.25">
      <c r="A5" s="1" t="s">
        <v>3</v>
      </c>
      <c r="B5" s="1"/>
      <c r="C5" s="1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  <c r="N5" s="74"/>
      <c r="O5" s="77"/>
      <c r="P5" s="77"/>
      <c r="Q5" s="327"/>
      <c r="R5" s="327"/>
    </row>
    <row r="6" spans="1:18" ht="15.75" thickBot="1" x14ac:dyDescent="0.3">
      <c r="A6" s="1"/>
      <c r="B6" s="1"/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74"/>
      <c r="O6" s="77"/>
      <c r="P6" s="77"/>
      <c r="Q6" s="327"/>
      <c r="R6" s="327"/>
    </row>
    <row r="7" spans="1:18" ht="34.5" thickBot="1" x14ac:dyDescent="0.3">
      <c r="A7" s="8" t="s">
        <v>5</v>
      </c>
      <c r="B7" s="8" t="s">
        <v>6</v>
      </c>
      <c r="C7" s="9" t="s">
        <v>7</v>
      </c>
      <c r="D7" s="10" t="s">
        <v>8</v>
      </c>
      <c r="E7" s="10"/>
      <c r="F7" s="10"/>
      <c r="G7" s="11" t="s">
        <v>9</v>
      </c>
      <c r="H7" s="29"/>
      <c r="I7" s="29"/>
      <c r="J7" s="29"/>
      <c r="K7" s="29"/>
      <c r="L7" s="239"/>
      <c r="M7" s="239"/>
      <c r="N7" s="236"/>
      <c r="O7" s="237"/>
      <c r="P7" s="238"/>
      <c r="Q7" s="329" t="s">
        <v>10</v>
      </c>
      <c r="R7" s="330"/>
    </row>
    <row r="8" spans="1:18" ht="22.5" x14ac:dyDescent="0.25">
      <c r="A8" s="12" t="s">
        <v>11</v>
      </c>
      <c r="B8" s="12" t="s">
        <v>12</v>
      </c>
      <c r="C8" s="13" t="s">
        <v>13</v>
      </c>
      <c r="D8" s="8" t="s">
        <v>14</v>
      </c>
      <c r="E8" s="14" t="s">
        <v>15</v>
      </c>
      <c r="F8" s="14" t="s">
        <v>16</v>
      </c>
      <c r="G8" s="240" t="s">
        <v>23</v>
      </c>
      <c r="H8" s="241"/>
      <c r="I8" s="241"/>
      <c r="J8" s="241"/>
      <c r="K8" s="242"/>
      <c r="L8" s="458" t="s">
        <v>24</v>
      </c>
      <c r="M8" s="306"/>
      <c r="N8" s="443"/>
      <c r="O8" s="444"/>
      <c r="P8" s="445"/>
      <c r="Q8" s="452" t="s">
        <v>25</v>
      </c>
      <c r="R8" s="455" t="s">
        <v>26</v>
      </c>
    </row>
    <row r="9" spans="1:18" ht="22.5" x14ac:dyDescent="0.25">
      <c r="A9" s="12" t="s">
        <v>17</v>
      </c>
      <c r="B9" s="12" t="s">
        <v>18</v>
      </c>
      <c r="C9" s="13" t="s">
        <v>19</v>
      </c>
      <c r="D9" s="12" t="s">
        <v>20</v>
      </c>
      <c r="E9" s="15" t="s">
        <v>21</v>
      </c>
      <c r="F9" s="15" t="s">
        <v>22</v>
      </c>
      <c r="G9" s="243"/>
      <c r="H9" s="244"/>
      <c r="I9" s="244"/>
      <c r="J9" s="244"/>
      <c r="K9" s="245"/>
      <c r="L9" s="459"/>
      <c r="M9" s="307"/>
      <c r="N9" s="446"/>
      <c r="O9" s="447"/>
      <c r="P9" s="448"/>
      <c r="Q9" s="453"/>
      <c r="R9" s="456"/>
    </row>
    <row r="10" spans="1:18" ht="23.25" thickBot="1" x14ac:dyDescent="0.3">
      <c r="A10" s="16" t="s">
        <v>27</v>
      </c>
      <c r="B10" s="17"/>
      <c r="C10" s="18"/>
      <c r="D10" s="16" t="s">
        <v>28</v>
      </c>
      <c r="E10" s="19"/>
      <c r="F10" s="20" t="s">
        <v>29</v>
      </c>
      <c r="G10" s="246"/>
      <c r="H10" s="247"/>
      <c r="I10" s="247"/>
      <c r="J10" s="247"/>
      <c r="K10" s="248"/>
      <c r="L10" s="460"/>
      <c r="M10" s="308"/>
      <c r="N10" s="449"/>
      <c r="O10" s="450"/>
      <c r="P10" s="451"/>
      <c r="Q10" s="454"/>
      <c r="R10" s="457"/>
    </row>
    <row r="11" spans="1:18" x14ac:dyDescent="0.25">
      <c r="A11" s="36"/>
      <c r="B11" s="37"/>
      <c r="C11" s="38" t="s">
        <v>86</v>
      </c>
      <c r="D11" s="39"/>
      <c r="E11" s="40"/>
      <c r="F11" s="39"/>
      <c r="G11" s="26">
        <v>10</v>
      </c>
      <c r="H11" s="26"/>
      <c r="I11" s="26"/>
      <c r="J11" s="26"/>
      <c r="K11" s="26"/>
      <c r="L11" s="461" t="s">
        <v>32</v>
      </c>
      <c r="M11" s="462"/>
      <c r="N11" s="253"/>
      <c r="O11" s="254"/>
      <c r="P11" s="255"/>
      <c r="Q11" s="331">
        <f>+P12+P13</f>
        <v>38950</v>
      </c>
      <c r="R11" s="332"/>
    </row>
    <row r="12" spans="1:18" x14ac:dyDescent="0.25">
      <c r="A12" s="39"/>
      <c r="B12" s="41"/>
      <c r="C12" s="42"/>
      <c r="D12" s="39"/>
      <c r="E12" s="40"/>
      <c r="F12" s="39"/>
      <c r="G12" s="26"/>
      <c r="H12" s="26">
        <v>101</v>
      </c>
      <c r="I12" s="26"/>
      <c r="J12" s="26"/>
      <c r="K12" s="26"/>
      <c r="L12" s="439" t="s">
        <v>30</v>
      </c>
      <c r="M12" s="440"/>
      <c r="N12" s="256"/>
      <c r="O12" s="257"/>
      <c r="P12" s="258">
        <v>8950</v>
      </c>
      <c r="Q12" s="331"/>
      <c r="R12" s="332"/>
    </row>
    <row r="13" spans="1:18" x14ac:dyDescent="0.25">
      <c r="A13" s="39"/>
      <c r="B13" s="43"/>
      <c r="C13" s="42"/>
      <c r="D13" s="39"/>
      <c r="E13" s="40"/>
      <c r="F13" s="39"/>
      <c r="G13" s="26"/>
      <c r="H13" s="26">
        <v>104</v>
      </c>
      <c r="I13" s="26"/>
      <c r="J13" s="26"/>
      <c r="K13" s="26"/>
      <c r="L13" s="439" t="s">
        <v>33</v>
      </c>
      <c r="M13" s="440"/>
      <c r="N13" s="256"/>
      <c r="O13" s="257"/>
      <c r="P13" s="258">
        <v>30000</v>
      </c>
      <c r="Q13" s="331"/>
      <c r="R13" s="332"/>
    </row>
    <row r="14" spans="1:18" x14ac:dyDescent="0.25">
      <c r="A14" s="39"/>
      <c r="B14" s="43"/>
      <c r="C14" s="42"/>
      <c r="D14" s="39"/>
      <c r="E14" s="40"/>
      <c r="F14" s="39"/>
      <c r="G14" s="44">
        <v>12</v>
      </c>
      <c r="H14" s="44"/>
      <c r="I14" s="44"/>
      <c r="J14" s="44"/>
      <c r="K14" s="44"/>
      <c r="L14" s="439" t="s">
        <v>37</v>
      </c>
      <c r="M14" s="440"/>
      <c r="N14" s="256"/>
      <c r="O14" s="257"/>
      <c r="P14" s="258"/>
      <c r="Q14" s="331">
        <f>+P15+P16</f>
        <v>22300</v>
      </c>
      <c r="R14" s="332"/>
    </row>
    <row r="15" spans="1:18" x14ac:dyDescent="0.25">
      <c r="A15" s="39"/>
      <c r="B15" s="43"/>
      <c r="C15" s="42"/>
      <c r="D15" s="39"/>
      <c r="E15" s="40"/>
      <c r="F15" s="39"/>
      <c r="G15" s="26"/>
      <c r="H15" s="26">
        <v>121</v>
      </c>
      <c r="I15" s="26"/>
      <c r="J15" s="26"/>
      <c r="K15" s="26"/>
      <c r="L15" s="439" t="s">
        <v>35</v>
      </c>
      <c r="M15" s="440"/>
      <c r="N15" s="256"/>
      <c r="O15" s="257"/>
      <c r="P15" s="258">
        <v>12800</v>
      </c>
      <c r="Q15" s="331"/>
      <c r="R15" s="332"/>
    </row>
    <row r="16" spans="1:18" x14ac:dyDescent="0.25">
      <c r="A16" s="39"/>
      <c r="B16" s="43"/>
      <c r="C16" s="42"/>
      <c r="D16" s="39"/>
      <c r="E16" s="40"/>
      <c r="F16" s="39"/>
      <c r="G16" s="26"/>
      <c r="H16" s="26">
        <v>123</v>
      </c>
      <c r="I16" s="26"/>
      <c r="J16" s="26"/>
      <c r="K16" s="26"/>
      <c r="L16" s="439" t="s">
        <v>36</v>
      </c>
      <c r="M16" s="440"/>
      <c r="N16" s="256"/>
      <c r="O16" s="257"/>
      <c r="P16" s="258">
        <v>9500</v>
      </c>
      <c r="Q16" s="331"/>
      <c r="R16" s="333"/>
    </row>
    <row r="17" spans="1:18" x14ac:dyDescent="0.25">
      <c r="A17" s="45"/>
      <c r="B17" s="45"/>
      <c r="C17" s="46"/>
      <c r="D17" s="47"/>
      <c r="E17" s="47"/>
      <c r="F17" s="48"/>
      <c r="G17" s="26">
        <v>24</v>
      </c>
      <c r="H17" s="26"/>
      <c r="I17" s="26"/>
      <c r="J17" s="26"/>
      <c r="K17" s="26"/>
      <c r="L17" s="441" t="s">
        <v>34</v>
      </c>
      <c r="M17" s="442"/>
      <c r="N17" s="259"/>
      <c r="O17" s="260"/>
      <c r="P17" s="261"/>
      <c r="Q17" s="334">
        <f>+P18</f>
        <v>1200</v>
      </c>
      <c r="R17" s="335"/>
    </row>
    <row r="18" spans="1:18" x14ac:dyDescent="0.25">
      <c r="A18" s="49"/>
      <c r="B18" s="37"/>
      <c r="C18" s="50"/>
      <c r="D18" s="47"/>
      <c r="E18" s="47"/>
      <c r="F18" s="47"/>
      <c r="G18" s="26"/>
      <c r="H18" s="26">
        <v>243</v>
      </c>
      <c r="I18" s="26"/>
      <c r="J18" s="26"/>
      <c r="K18" s="26"/>
      <c r="L18" s="439" t="s">
        <v>38</v>
      </c>
      <c r="M18" s="440"/>
      <c r="N18" s="256"/>
      <c r="O18" s="257"/>
      <c r="P18" s="258">
        <v>1200</v>
      </c>
      <c r="Q18" s="331"/>
      <c r="R18" s="336"/>
    </row>
    <row r="19" spans="1:18" x14ac:dyDescent="0.25">
      <c r="A19" s="45"/>
      <c r="B19" s="45"/>
      <c r="C19" s="50"/>
      <c r="D19" s="47"/>
      <c r="E19" s="47"/>
      <c r="F19" s="47"/>
      <c r="G19" s="26">
        <v>25</v>
      </c>
      <c r="H19" s="26"/>
      <c r="I19" s="26"/>
      <c r="J19" s="26"/>
      <c r="K19" s="26"/>
      <c r="L19" s="439" t="s">
        <v>39</v>
      </c>
      <c r="M19" s="440"/>
      <c r="N19" s="256"/>
      <c r="O19" s="257"/>
      <c r="P19" s="258"/>
      <c r="Q19" s="331">
        <f>+P20</f>
        <v>5503.6</v>
      </c>
      <c r="R19" s="336"/>
    </row>
    <row r="20" spans="1:18" x14ac:dyDescent="0.25">
      <c r="A20" s="45"/>
      <c r="B20" s="45"/>
      <c r="C20" s="51"/>
      <c r="D20" s="47"/>
      <c r="E20" s="47"/>
      <c r="F20" s="47"/>
      <c r="G20" s="26"/>
      <c r="H20" s="26">
        <v>252</v>
      </c>
      <c r="I20" s="26"/>
      <c r="J20" s="26"/>
      <c r="K20" s="26"/>
      <c r="L20" s="441" t="s">
        <v>40</v>
      </c>
      <c r="M20" s="442"/>
      <c r="N20" s="259"/>
      <c r="O20" s="260"/>
      <c r="P20" s="261">
        <f>+P21</f>
        <v>5503.6</v>
      </c>
      <c r="Q20" s="334"/>
      <c r="R20" s="335"/>
    </row>
    <row r="21" spans="1:18" x14ac:dyDescent="0.25">
      <c r="A21" s="45"/>
      <c r="B21" s="45"/>
      <c r="C21" s="50"/>
      <c r="D21" s="47"/>
      <c r="E21" s="47"/>
      <c r="F21" s="47"/>
      <c r="G21" s="26"/>
      <c r="H21" s="26"/>
      <c r="I21" s="26">
        <v>2524</v>
      </c>
      <c r="J21" s="26"/>
      <c r="K21" s="26"/>
      <c r="L21" s="441" t="s">
        <v>41</v>
      </c>
      <c r="M21" s="442"/>
      <c r="N21" s="259"/>
      <c r="O21" s="260"/>
      <c r="P21" s="261">
        <f>+O22+O27+O35</f>
        <v>5503.6</v>
      </c>
      <c r="Q21" s="331"/>
      <c r="R21" s="335"/>
    </row>
    <row r="22" spans="1:18" x14ac:dyDescent="0.25">
      <c r="A22" s="45"/>
      <c r="B22" s="45"/>
      <c r="C22" s="50"/>
      <c r="D22" s="47"/>
      <c r="E22" s="47"/>
      <c r="F22" s="47"/>
      <c r="G22" s="26"/>
      <c r="H22" s="26"/>
      <c r="I22" s="26"/>
      <c r="J22" s="26">
        <v>25241</v>
      </c>
      <c r="K22" s="26"/>
      <c r="L22" s="439" t="s">
        <v>42</v>
      </c>
      <c r="M22" s="440"/>
      <c r="N22" s="256"/>
      <c r="O22" s="257">
        <f>+N23+N24+N25+N26</f>
        <v>3663.6</v>
      </c>
      <c r="P22" s="258"/>
      <c r="Q22" s="331"/>
      <c r="R22" s="335"/>
    </row>
    <row r="23" spans="1:18" x14ac:dyDescent="0.25">
      <c r="A23" s="49"/>
      <c r="B23" s="45"/>
      <c r="C23" s="51"/>
      <c r="D23" s="47"/>
      <c r="E23" s="47"/>
      <c r="F23" s="47"/>
      <c r="G23" s="26"/>
      <c r="H23" s="26"/>
      <c r="I23" s="26"/>
      <c r="J23" s="26"/>
      <c r="K23" s="26">
        <v>252411</v>
      </c>
      <c r="L23" s="441" t="s">
        <v>43</v>
      </c>
      <c r="M23" s="442"/>
      <c r="N23" s="259">
        <v>378</v>
      </c>
      <c r="O23" s="260"/>
      <c r="P23" s="261"/>
      <c r="Q23" s="331"/>
      <c r="R23" s="335"/>
    </row>
    <row r="24" spans="1:18" x14ac:dyDescent="0.25">
      <c r="A24" s="45"/>
      <c r="B24" s="45"/>
      <c r="C24" s="51"/>
      <c r="D24" s="47"/>
      <c r="E24" s="47"/>
      <c r="F24" s="47"/>
      <c r="G24" s="25"/>
      <c r="H24" s="25"/>
      <c r="I24" s="25"/>
      <c r="J24" s="25"/>
      <c r="K24" s="25">
        <v>252412</v>
      </c>
      <c r="L24" s="439" t="s">
        <v>44</v>
      </c>
      <c r="M24" s="440"/>
      <c r="N24" s="256">
        <v>795.6</v>
      </c>
      <c r="O24" s="257"/>
      <c r="P24" s="258"/>
      <c r="Q24" s="331"/>
      <c r="R24" s="335"/>
    </row>
    <row r="25" spans="1:18" x14ac:dyDescent="0.25">
      <c r="A25" s="45"/>
      <c r="B25" s="45"/>
      <c r="C25" s="51"/>
      <c r="D25" s="47"/>
      <c r="E25" s="47"/>
      <c r="F25" s="47"/>
      <c r="G25" s="25"/>
      <c r="H25" s="25"/>
      <c r="I25" s="25"/>
      <c r="J25" s="25"/>
      <c r="K25" s="26">
        <v>252413</v>
      </c>
      <c r="L25" s="439" t="s">
        <v>45</v>
      </c>
      <c r="M25" s="440"/>
      <c r="N25" s="256">
        <v>490</v>
      </c>
      <c r="O25" s="257"/>
      <c r="P25" s="258"/>
      <c r="Q25" s="331"/>
      <c r="R25" s="335"/>
    </row>
    <row r="26" spans="1:18" x14ac:dyDescent="0.25">
      <c r="A26" s="49"/>
      <c r="B26" s="45"/>
      <c r="C26" s="50"/>
      <c r="D26" s="47"/>
      <c r="E26" s="47"/>
      <c r="F26" s="47"/>
      <c r="G26" s="26"/>
      <c r="H26" s="26"/>
      <c r="I26" s="26"/>
      <c r="J26" s="26"/>
      <c r="K26" s="25">
        <v>252414</v>
      </c>
      <c r="L26" s="441" t="s">
        <v>46</v>
      </c>
      <c r="M26" s="442"/>
      <c r="N26" s="259">
        <v>2000</v>
      </c>
      <c r="O26" s="260"/>
      <c r="P26" s="261"/>
      <c r="Q26" s="331"/>
      <c r="R26" s="335"/>
    </row>
    <row r="27" spans="1:18" x14ac:dyDescent="0.25">
      <c r="A27" s="52"/>
      <c r="B27" s="52"/>
      <c r="C27" s="53"/>
      <c r="D27" s="54"/>
      <c r="E27" s="54"/>
      <c r="F27" s="54"/>
      <c r="G27" s="26"/>
      <c r="H27" s="26"/>
      <c r="I27" s="26"/>
      <c r="J27" s="26">
        <v>25242</v>
      </c>
      <c r="K27" s="26"/>
      <c r="L27" s="439" t="s">
        <v>47</v>
      </c>
      <c r="M27" s="440"/>
      <c r="N27" s="256"/>
      <c r="O27" s="257">
        <f>+N28+N29+N30+N31+N32+N33+N34</f>
        <v>1130</v>
      </c>
      <c r="P27" s="258"/>
      <c r="Q27" s="331"/>
      <c r="R27" s="336"/>
    </row>
    <row r="28" spans="1:18" x14ac:dyDescent="0.25">
      <c r="A28" s="52"/>
      <c r="B28" s="52"/>
      <c r="C28" s="51"/>
      <c r="D28" s="54"/>
      <c r="E28" s="54"/>
      <c r="F28" s="54"/>
      <c r="G28" s="26"/>
      <c r="H28" s="26"/>
      <c r="I28" s="26"/>
      <c r="J28" s="26"/>
      <c r="K28" s="26">
        <v>252421</v>
      </c>
      <c r="L28" s="441" t="s">
        <v>48</v>
      </c>
      <c r="M28" s="442"/>
      <c r="N28" s="259">
        <v>100</v>
      </c>
      <c r="O28" s="260"/>
      <c r="P28" s="261"/>
      <c r="Q28" s="334"/>
      <c r="R28" s="335"/>
    </row>
    <row r="29" spans="1:18" x14ac:dyDescent="0.25">
      <c r="A29" s="45"/>
      <c r="B29" s="52"/>
      <c r="C29" s="51"/>
      <c r="D29" s="54"/>
      <c r="E29" s="54"/>
      <c r="F29" s="54"/>
      <c r="G29" s="25"/>
      <c r="H29" s="25"/>
      <c r="I29" s="25"/>
      <c r="J29" s="25"/>
      <c r="K29" s="25">
        <v>252422</v>
      </c>
      <c r="L29" s="439" t="s">
        <v>49</v>
      </c>
      <c r="M29" s="440"/>
      <c r="N29" s="256">
        <v>120</v>
      </c>
      <c r="O29" s="257"/>
      <c r="P29" s="258"/>
      <c r="Q29" s="334"/>
      <c r="R29" s="335"/>
    </row>
    <row r="30" spans="1:18" x14ac:dyDescent="0.25">
      <c r="A30" s="45"/>
      <c r="B30" s="52"/>
      <c r="C30" s="51"/>
      <c r="D30" s="54"/>
      <c r="E30" s="54"/>
      <c r="F30" s="54"/>
      <c r="G30" s="25"/>
      <c r="H30" s="25"/>
      <c r="I30" s="25"/>
      <c r="J30" s="25"/>
      <c r="K30" s="26">
        <v>252423</v>
      </c>
      <c r="L30" s="439" t="s">
        <v>50</v>
      </c>
      <c r="M30" s="440"/>
      <c r="N30" s="256">
        <v>140</v>
      </c>
      <c r="O30" s="257"/>
      <c r="P30" s="258"/>
      <c r="Q30" s="334"/>
      <c r="R30" s="335"/>
    </row>
    <row r="31" spans="1:18" x14ac:dyDescent="0.25">
      <c r="A31" s="45"/>
      <c r="B31" s="52"/>
      <c r="C31" s="51"/>
      <c r="D31" s="54"/>
      <c r="E31" s="54"/>
      <c r="F31" s="54"/>
      <c r="G31" s="25"/>
      <c r="H31" s="25"/>
      <c r="I31" s="25"/>
      <c r="J31" s="25"/>
      <c r="K31" s="25">
        <v>252424</v>
      </c>
      <c r="L31" s="439" t="s">
        <v>51</v>
      </c>
      <c r="M31" s="440"/>
      <c r="N31" s="256">
        <v>240</v>
      </c>
      <c r="O31" s="257"/>
      <c r="P31" s="258"/>
      <c r="Q31" s="334"/>
      <c r="R31" s="335"/>
    </row>
    <row r="32" spans="1:18" x14ac:dyDescent="0.25">
      <c r="A32" s="49"/>
      <c r="B32" s="52"/>
      <c r="C32" s="53"/>
      <c r="D32" s="54"/>
      <c r="E32" s="54"/>
      <c r="F32" s="54"/>
      <c r="G32" s="26"/>
      <c r="H32" s="26"/>
      <c r="I32" s="26"/>
      <c r="J32" s="26"/>
      <c r="K32" s="26">
        <v>252425</v>
      </c>
      <c r="L32" s="441" t="s">
        <v>52</v>
      </c>
      <c r="M32" s="442"/>
      <c r="N32" s="259">
        <v>210</v>
      </c>
      <c r="O32" s="260"/>
      <c r="P32" s="261"/>
      <c r="Q32" s="334"/>
      <c r="R32" s="336"/>
    </row>
    <row r="33" spans="1:19" x14ac:dyDescent="0.25">
      <c r="A33" s="49"/>
      <c r="B33" s="52"/>
      <c r="C33" s="51"/>
      <c r="D33" s="54"/>
      <c r="E33" s="54"/>
      <c r="F33" s="54"/>
      <c r="G33" s="26"/>
      <c r="H33" s="26"/>
      <c r="I33" s="26"/>
      <c r="J33" s="26"/>
      <c r="K33" s="25">
        <v>252426</v>
      </c>
      <c r="L33" s="439" t="s">
        <v>53</v>
      </c>
      <c r="M33" s="440"/>
      <c r="N33" s="256">
        <v>300</v>
      </c>
      <c r="O33" s="257"/>
      <c r="P33" s="258"/>
      <c r="Q33" s="334"/>
      <c r="R33" s="335"/>
    </row>
    <row r="34" spans="1:19" x14ac:dyDescent="0.25">
      <c r="A34" s="49"/>
      <c r="B34" s="52"/>
      <c r="C34" s="51"/>
      <c r="D34" s="54"/>
      <c r="E34" s="54"/>
      <c r="F34" s="54"/>
      <c r="G34" s="26"/>
      <c r="H34" s="26"/>
      <c r="I34" s="26"/>
      <c r="J34" s="26"/>
      <c r="K34" s="26">
        <v>252427</v>
      </c>
      <c r="L34" s="439" t="s">
        <v>54</v>
      </c>
      <c r="M34" s="440"/>
      <c r="N34" s="256">
        <v>20</v>
      </c>
      <c r="O34" s="257"/>
      <c r="P34" s="258"/>
      <c r="Q34" s="334"/>
      <c r="R34" s="335"/>
    </row>
    <row r="35" spans="1:19" x14ac:dyDescent="0.25">
      <c r="A35" s="49"/>
      <c r="B35" s="52"/>
      <c r="C35" s="51"/>
      <c r="D35" s="54"/>
      <c r="E35" s="54"/>
      <c r="F35" s="54"/>
      <c r="G35" s="25"/>
      <c r="H35" s="25"/>
      <c r="I35" s="25"/>
      <c r="J35" s="25">
        <v>25243</v>
      </c>
      <c r="K35" s="25"/>
      <c r="L35" s="439" t="s">
        <v>55</v>
      </c>
      <c r="M35" s="440"/>
      <c r="N35" s="256"/>
      <c r="O35" s="257">
        <f>+N36+N37+N38</f>
        <v>710</v>
      </c>
      <c r="P35" s="258"/>
      <c r="Q35" s="334"/>
      <c r="R35" s="335"/>
    </row>
    <row r="36" spans="1:19" x14ac:dyDescent="0.25">
      <c r="A36" s="49"/>
      <c r="B36" s="52"/>
      <c r="C36" s="51"/>
      <c r="D36" s="54"/>
      <c r="E36" s="54"/>
      <c r="F36" s="54"/>
      <c r="G36" s="25"/>
      <c r="H36" s="25"/>
      <c r="I36" s="25"/>
      <c r="J36" s="25"/>
      <c r="K36" s="25">
        <v>252431</v>
      </c>
      <c r="L36" s="439" t="s">
        <v>56</v>
      </c>
      <c r="M36" s="440"/>
      <c r="N36" s="256">
        <v>250</v>
      </c>
      <c r="O36" s="257"/>
      <c r="P36" s="258"/>
      <c r="Q36" s="334"/>
      <c r="R36" s="336"/>
    </row>
    <row r="37" spans="1:19" x14ac:dyDescent="0.25">
      <c r="A37" s="49"/>
      <c r="B37" s="52"/>
      <c r="C37" s="51"/>
      <c r="D37" s="54"/>
      <c r="E37" s="54"/>
      <c r="F37" s="54"/>
      <c r="G37" s="26"/>
      <c r="H37" s="26"/>
      <c r="I37" s="26"/>
      <c r="J37" s="26"/>
      <c r="K37" s="26">
        <v>252432</v>
      </c>
      <c r="L37" s="439" t="s">
        <v>57</v>
      </c>
      <c r="M37" s="440"/>
      <c r="N37" s="256">
        <v>160</v>
      </c>
      <c r="O37" s="257"/>
      <c r="P37" s="258"/>
      <c r="Q37" s="334"/>
      <c r="R37" s="335"/>
    </row>
    <row r="38" spans="1:19" x14ac:dyDescent="0.25">
      <c r="A38" s="49"/>
      <c r="B38" s="52"/>
      <c r="C38" s="51"/>
      <c r="D38" s="54"/>
      <c r="E38" s="54"/>
      <c r="F38" s="54"/>
      <c r="G38" s="26"/>
      <c r="H38" s="26"/>
      <c r="I38" s="26"/>
      <c r="J38" s="26"/>
      <c r="K38" s="26">
        <v>252433</v>
      </c>
      <c r="L38" s="439" t="s">
        <v>58</v>
      </c>
      <c r="M38" s="440"/>
      <c r="N38" s="256">
        <v>300</v>
      </c>
      <c r="O38" s="257"/>
      <c r="P38" s="258"/>
      <c r="Q38" s="334"/>
      <c r="R38" s="336"/>
    </row>
    <row r="39" spans="1:19" x14ac:dyDescent="0.25">
      <c r="A39" s="49"/>
      <c r="B39" s="37"/>
      <c r="C39" s="51"/>
      <c r="D39" s="54"/>
      <c r="E39" s="54"/>
      <c r="F39" s="54"/>
      <c r="G39" s="26">
        <v>33</v>
      </c>
      <c r="H39" s="26"/>
      <c r="I39" s="26"/>
      <c r="J39" s="26"/>
      <c r="K39" s="26"/>
      <c r="L39" s="439" t="s">
        <v>59</v>
      </c>
      <c r="M39" s="440"/>
      <c r="N39" s="256"/>
      <c r="O39" s="257"/>
      <c r="P39" s="258"/>
      <c r="Q39" s="334">
        <f>+P40+P41+P44</f>
        <v>301200</v>
      </c>
      <c r="R39" s="336"/>
    </row>
    <row r="40" spans="1:19" x14ac:dyDescent="0.25">
      <c r="A40" s="49"/>
      <c r="B40" s="52"/>
      <c r="C40" s="51"/>
      <c r="D40" s="54"/>
      <c r="E40" s="54"/>
      <c r="F40" s="54"/>
      <c r="G40" s="26"/>
      <c r="H40" s="26">
        <v>331</v>
      </c>
      <c r="I40" s="26"/>
      <c r="J40" s="26"/>
      <c r="K40" s="26"/>
      <c r="L40" s="439" t="s">
        <v>60</v>
      </c>
      <c r="M40" s="440"/>
      <c r="N40" s="256"/>
      <c r="O40" s="257"/>
      <c r="P40" s="258">
        <v>100000</v>
      </c>
      <c r="Q40" s="334"/>
      <c r="R40" s="336"/>
    </row>
    <row r="41" spans="1:19" x14ac:dyDescent="0.25">
      <c r="A41" s="49"/>
      <c r="B41" s="52"/>
      <c r="C41" s="53"/>
      <c r="D41" s="54"/>
      <c r="E41" s="54"/>
      <c r="F41" s="54"/>
      <c r="G41" s="25"/>
      <c r="H41" s="25">
        <v>332</v>
      </c>
      <c r="I41" s="25"/>
      <c r="J41" s="25"/>
      <c r="K41" s="25"/>
      <c r="L41" s="439" t="s">
        <v>61</v>
      </c>
      <c r="M41" s="440"/>
      <c r="N41" s="256"/>
      <c r="O41" s="257"/>
      <c r="P41" s="258">
        <f>+O42+O43</f>
        <v>200000</v>
      </c>
      <c r="Q41" s="331"/>
      <c r="R41" s="335"/>
    </row>
    <row r="42" spans="1:19" x14ac:dyDescent="0.25">
      <c r="A42" s="49"/>
      <c r="B42" s="52"/>
      <c r="C42" s="53"/>
      <c r="D42" s="54"/>
      <c r="E42" s="54"/>
      <c r="F42" s="54"/>
      <c r="G42" s="25"/>
      <c r="H42" s="25"/>
      <c r="I42" s="25">
        <v>3321</v>
      </c>
      <c r="J42" s="25"/>
      <c r="K42" s="25"/>
      <c r="L42" s="439" t="s">
        <v>62</v>
      </c>
      <c r="M42" s="440"/>
      <c r="N42" s="256"/>
      <c r="O42" s="257">
        <v>160000</v>
      </c>
      <c r="P42" s="258"/>
      <c r="Q42" s="331"/>
      <c r="R42" s="335"/>
      <c r="S42" s="34"/>
    </row>
    <row r="43" spans="1:19" x14ac:dyDescent="0.25">
      <c r="A43" s="49"/>
      <c r="B43" s="52"/>
      <c r="C43" s="51"/>
      <c r="D43" s="54"/>
      <c r="E43" s="54"/>
      <c r="F43" s="54"/>
      <c r="G43" s="25"/>
      <c r="H43" s="25"/>
      <c r="I43" s="25">
        <v>3322</v>
      </c>
      <c r="J43" s="25"/>
      <c r="K43" s="25"/>
      <c r="L43" s="439" t="s">
        <v>63</v>
      </c>
      <c r="M43" s="440"/>
      <c r="N43" s="256"/>
      <c r="O43" s="257">
        <v>40000</v>
      </c>
      <c r="P43" s="258"/>
      <c r="Q43" s="331"/>
      <c r="R43" s="335"/>
    </row>
    <row r="44" spans="1:19" x14ac:dyDescent="0.25">
      <c r="A44" s="49"/>
      <c r="B44" s="52"/>
      <c r="C44" s="53"/>
      <c r="D44" s="54"/>
      <c r="E44" s="54"/>
      <c r="F44" s="54"/>
      <c r="G44" s="26"/>
      <c r="H44" s="26">
        <v>337</v>
      </c>
      <c r="I44" s="26"/>
      <c r="J44" s="26"/>
      <c r="K44" s="26"/>
      <c r="L44" s="439" t="s">
        <v>64</v>
      </c>
      <c r="M44" s="440"/>
      <c r="N44" s="256"/>
      <c r="O44" s="257"/>
      <c r="P44" s="258">
        <f>+O45</f>
        <v>1200</v>
      </c>
      <c r="Q44" s="331"/>
      <c r="R44" s="335"/>
    </row>
    <row r="45" spans="1:19" x14ac:dyDescent="0.25">
      <c r="A45" s="49"/>
      <c r="B45" s="52"/>
      <c r="C45" s="51"/>
      <c r="D45" s="54"/>
      <c r="E45" s="54"/>
      <c r="F45" s="54"/>
      <c r="G45" s="26"/>
      <c r="H45" s="26"/>
      <c r="I45" s="26">
        <v>3372</v>
      </c>
      <c r="J45" s="26"/>
      <c r="K45" s="26"/>
      <c r="L45" s="439" t="s">
        <v>65</v>
      </c>
      <c r="M45" s="440"/>
      <c r="N45" s="256"/>
      <c r="O45" s="257">
        <v>1200</v>
      </c>
      <c r="P45" s="258"/>
      <c r="Q45" s="334"/>
      <c r="R45" s="335"/>
    </row>
    <row r="46" spans="1:19" x14ac:dyDescent="0.25">
      <c r="A46" s="49"/>
      <c r="B46" s="52"/>
      <c r="C46" s="51"/>
      <c r="D46" s="54"/>
      <c r="E46" s="54"/>
      <c r="F46" s="54"/>
      <c r="G46" s="26">
        <v>42</v>
      </c>
      <c r="H46" s="26"/>
      <c r="I46" s="26"/>
      <c r="J46" s="26"/>
      <c r="K46" s="26"/>
      <c r="L46" s="439" t="s">
        <v>66</v>
      </c>
      <c r="M46" s="440"/>
      <c r="N46" s="256"/>
      <c r="O46" s="257"/>
      <c r="P46" s="258"/>
      <c r="Q46" s="334"/>
      <c r="R46" s="335">
        <f>+P47+P48</f>
        <v>11000</v>
      </c>
    </row>
    <row r="47" spans="1:19" x14ac:dyDescent="0.25">
      <c r="A47" s="49"/>
      <c r="B47" s="52"/>
      <c r="C47" s="51"/>
      <c r="D47" s="54"/>
      <c r="E47" s="54"/>
      <c r="F47" s="54"/>
      <c r="G47" s="26"/>
      <c r="H47" s="26">
        <v>421</v>
      </c>
      <c r="I47" s="26"/>
      <c r="J47" s="26"/>
      <c r="K47" s="26"/>
      <c r="L47" s="439" t="s">
        <v>67</v>
      </c>
      <c r="M47" s="440"/>
      <c r="N47" s="256"/>
      <c r="O47" s="257"/>
      <c r="P47" s="258">
        <v>5000</v>
      </c>
      <c r="Q47" s="334"/>
      <c r="R47" s="335"/>
      <c r="S47" s="34"/>
    </row>
    <row r="48" spans="1:19" x14ac:dyDescent="0.25">
      <c r="A48" s="49"/>
      <c r="B48" s="52"/>
      <c r="C48" s="51"/>
      <c r="D48" s="54"/>
      <c r="E48" s="54"/>
      <c r="F48" s="54"/>
      <c r="G48" s="25"/>
      <c r="H48" s="25">
        <v>423</v>
      </c>
      <c r="I48" s="25"/>
      <c r="J48" s="25"/>
      <c r="K48" s="25"/>
      <c r="L48" s="439" t="s">
        <v>68</v>
      </c>
      <c r="M48" s="440"/>
      <c r="N48" s="256"/>
      <c r="O48" s="257"/>
      <c r="P48" s="258">
        <v>6000</v>
      </c>
      <c r="Q48" s="334"/>
      <c r="R48" s="335"/>
      <c r="S48" s="34"/>
    </row>
    <row r="49" spans="1:19" x14ac:dyDescent="0.25">
      <c r="A49" s="49"/>
      <c r="B49" s="52"/>
      <c r="C49" s="51"/>
      <c r="D49" s="54"/>
      <c r="E49" s="54"/>
      <c r="F49" s="54"/>
      <c r="G49" s="25">
        <v>50</v>
      </c>
      <c r="H49" s="25"/>
      <c r="I49" s="25"/>
      <c r="J49" s="25"/>
      <c r="K49" s="25"/>
      <c r="L49" s="439" t="s">
        <v>69</v>
      </c>
      <c r="M49" s="440"/>
      <c r="N49" s="256"/>
      <c r="O49" s="257"/>
      <c r="P49" s="258"/>
      <c r="Q49" s="334"/>
      <c r="R49" s="335">
        <f>+P50</f>
        <v>358153.6</v>
      </c>
      <c r="S49" s="34"/>
    </row>
    <row r="50" spans="1:19" x14ac:dyDescent="0.25">
      <c r="A50" s="49"/>
      <c r="B50" s="52"/>
      <c r="C50" s="51"/>
      <c r="D50" s="54"/>
      <c r="E50" s="54"/>
      <c r="F50" s="54"/>
      <c r="G50" s="26"/>
      <c r="H50" s="26">
        <v>503</v>
      </c>
      <c r="I50" s="26"/>
      <c r="J50" s="26"/>
      <c r="K50" s="26"/>
      <c r="L50" s="439" t="s">
        <v>70</v>
      </c>
      <c r="M50" s="440"/>
      <c r="N50" s="256"/>
      <c r="O50" s="257"/>
      <c r="P50" s="258">
        <f>+'operaciones adicionales I'!B8</f>
        <v>358153.6</v>
      </c>
      <c r="Q50" s="334"/>
      <c r="R50" s="335"/>
    </row>
    <row r="51" spans="1:19" x14ac:dyDescent="0.25">
      <c r="A51" s="22"/>
      <c r="B51" s="24"/>
      <c r="C51" s="160"/>
      <c r="D51" s="161"/>
      <c r="E51" s="161"/>
      <c r="F51" s="161"/>
      <c r="G51" s="162"/>
      <c r="H51" s="162"/>
      <c r="I51" s="162"/>
      <c r="J51" s="162"/>
      <c r="K51" s="162"/>
      <c r="L51" s="405" t="s">
        <v>85</v>
      </c>
      <c r="M51" s="406"/>
      <c r="N51" s="262"/>
      <c r="O51" s="263"/>
      <c r="P51" s="264"/>
      <c r="Q51" s="337"/>
      <c r="R51" s="338"/>
    </row>
    <row r="52" spans="1:19" x14ac:dyDescent="0.25">
      <c r="A52" s="22"/>
      <c r="B52" s="24"/>
      <c r="C52" s="160"/>
      <c r="D52" s="161"/>
      <c r="E52" s="161"/>
      <c r="F52" s="161"/>
      <c r="G52" s="163">
        <v>37</v>
      </c>
      <c r="H52" s="163"/>
      <c r="I52" s="163"/>
      <c r="J52" s="163"/>
      <c r="K52" s="163"/>
      <c r="L52" s="411" t="s">
        <v>87</v>
      </c>
      <c r="M52" s="412"/>
      <c r="N52" s="262"/>
      <c r="O52" s="263"/>
      <c r="P52" s="264"/>
      <c r="Q52" s="337">
        <f>+P53</f>
        <v>1407.56</v>
      </c>
      <c r="R52" s="338"/>
    </row>
    <row r="53" spans="1:19" x14ac:dyDescent="0.25">
      <c r="A53" s="22"/>
      <c r="B53" s="24"/>
      <c r="C53" s="160"/>
      <c r="D53" s="161"/>
      <c r="E53" s="161"/>
      <c r="F53" s="161"/>
      <c r="G53" s="163"/>
      <c r="H53" s="163">
        <v>373</v>
      </c>
      <c r="I53" s="163"/>
      <c r="J53" s="163"/>
      <c r="K53" s="163"/>
      <c r="L53" s="411" t="s">
        <v>88</v>
      </c>
      <c r="M53" s="412"/>
      <c r="N53" s="262"/>
      <c r="O53" s="263"/>
      <c r="P53" s="264">
        <v>1407.56</v>
      </c>
      <c r="Q53" s="337"/>
      <c r="R53" s="338"/>
    </row>
    <row r="54" spans="1:19" x14ac:dyDescent="0.25">
      <c r="A54" s="22"/>
      <c r="B54" s="24"/>
      <c r="C54" s="160"/>
      <c r="D54" s="161"/>
      <c r="E54" s="161"/>
      <c r="F54" s="161"/>
      <c r="G54" s="162">
        <v>45</v>
      </c>
      <c r="H54" s="162"/>
      <c r="I54" s="162"/>
      <c r="J54" s="162"/>
      <c r="K54" s="162"/>
      <c r="L54" s="411" t="s">
        <v>89</v>
      </c>
      <c r="M54" s="412"/>
      <c r="N54" s="262"/>
      <c r="O54" s="263"/>
      <c r="P54" s="264"/>
      <c r="Q54" s="337"/>
      <c r="R54" s="338">
        <f>+P55</f>
        <v>1407.56</v>
      </c>
    </row>
    <row r="55" spans="1:19" x14ac:dyDescent="0.25">
      <c r="A55" s="22"/>
      <c r="B55" s="24"/>
      <c r="C55" s="160"/>
      <c r="D55" s="161"/>
      <c r="E55" s="161"/>
      <c r="F55" s="161"/>
      <c r="G55" s="162"/>
      <c r="H55" s="162">
        <v>451</v>
      </c>
      <c r="I55" s="162"/>
      <c r="J55" s="162"/>
      <c r="K55" s="162"/>
      <c r="L55" s="411" t="s">
        <v>90</v>
      </c>
      <c r="M55" s="412"/>
      <c r="N55" s="262"/>
      <c r="O55" s="263"/>
      <c r="P55" s="264">
        <f>+P53</f>
        <v>1407.56</v>
      </c>
      <c r="Q55" s="337"/>
      <c r="R55" s="338"/>
    </row>
    <row r="56" spans="1:19" x14ac:dyDescent="0.25">
      <c r="A56" s="22"/>
      <c r="B56" s="24"/>
      <c r="C56" s="164"/>
      <c r="D56" s="165"/>
      <c r="E56" s="165"/>
      <c r="F56" s="165"/>
      <c r="G56" s="166"/>
      <c r="H56" s="166"/>
      <c r="I56" s="166"/>
      <c r="J56" s="166"/>
      <c r="K56" s="166"/>
      <c r="L56" s="437" t="s">
        <v>92</v>
      </c>
      <c r="M56" s="438"/>
      <c r="N56" s="265"/>
      <c r="O56" s="266"/>
      <c r="P56" s="267"/>
      <c r="Q56" s="339"/>
      <c r="R56" s="340"/>
    </row>
    <row r="57" spans="1:19" x14ac:dyDescent="0.25">
      <c r="A57" s="22"/>
      <c r="B57" s="24"/>
      <c r="C57" s="164" t="s">
        <v>96</v>
      </c>
      <c r="D57" s="165"/>
      <c r="E57" s="165"/>
      <c r="F57" s="165"/>
      <c r="G57" s="166">
        <v>60</v>
      </c>
      <c r="H57" s="166"/>
      <c r="I57" s="166"/>
      <c r="J57" s="166"/>
      <c r="K57" s="166"/>
      <c r="L57" s="433" t="s">
        <v>93</v>
      </c>
      <c r="M57" s="434"/>
      <c r="N57" s="268"/>
      <c r="O57" s="269"/>
      <c r="P57" s="270"/>
      <c r="Q57" s="341">
        <f>+P58</f>
        <v>250</v>
      </c>
      <c r="R57" s="342"/>
    </row>
    <row r="58" spans="1:19" x14ac:dyDescent="0.25">
      <c r="A58" s="22"/>
      <c r="B58" s="24"/>
      <c r="C58" s="164" t="s">
        <v>97</v>
      </c>
      <c r="D58" s="165"/>
      <c r="E58" s="165"/>
      <c r="F58" s="165"/>
      <c r="G58" s="166"/>
      <c r="H58" s="166">
        <v>604</v>
      </c>
      <c r="I58" s="166"/>
      <c r="J58" s="166"/>
      <c r="K58" s="166"/>
      <c r="L58" s="433" t="s">
        <v>94</v>
      </c>
      <c r="M58" s="434"/>
      <c r="N58" s="268"/>
      <c r="O58" s="269"/>
      <c r="P58" s="271">
        <v>250</v>
      </c>
      <c r="Q58" s="343"/>
      <c r="R58" s="342"/>
    </row>
    <row r="59" spans="1:19" x14ac:dyDescent="0.25">
      <c r="A59" s="22"/>
      <c r="B59" s="24"/>
      <c r="C59" s="164"/>
      <c r="D59" s="165"/>
      <c r="E59" s="165"/>
      <c r="F59" s="165"/>
      <c r="G59" s="166">
        <v>42</v>
      </c>
      <c r="H59" s="166"/>
      <c r="I59" s="166"/>
      <c r="J59" s="166"/>
      <c r="K59" s="166"/>
      <c r="L59" s="435" t="s">
        <v>95</v>
      </c>
      <c r="M59" s="436"/>
      <c r="N59" s="265"/>
      <c r="O59" s="266"/>
      <c r="P59" s="267"/>
      <c r="Q59" s="343"/>
      <c r="R59" s="342">
        <f>+P60</f>
        <v>250</v>
      </c>
    </row>
    <row r="60" spans="1:19" x14ac:dyDescent="0.25">
      <c r="A60" s="22"/>
      <c r="B60" s="24"/>
      <c r="C60" s="164"/>
      <c r="D60" s="165"/>
      <c r="E60" s="165"/>
      <c r="F60" s="165"/>
      <c r="G60" s="166"/>
      <c r="H60" s="166">
        <v>421</v>
      </c>
      <c r="I60" s="166"/>
      <c r="J60" s="166"/>
      <c r="K60" s="166"/>
      <c r="L60" s="433" t="s">
        <v>67</v>
      </c>
      <c r="M60" s="434"/>
      <c r="N60" s="268"/>
      <c r="O60" s="269"/>
      <c r="P60" s="271">
        <v>250</v>
      </c>
      <c r="Q60" s="343"/>
      <c r="R60" s="342"/>
    </row>
    <row r="61" spans="1:19" x14ac:dyDescent="0.25">
      <c r="A61" s="22"/>
      <c r="B61" s="24"/>
      <c r="C61" s="164"/>
      <c r="D61" s="165"/>
      <c r="E61" s="165"/>
      <c r="F61" s="165"/>
      <c r="G61" s="166"/>
      <c r="H61" s="166"/>
      <c r="I61" s="166"/>
      <c r="J61" s="166"/>
      <c r="K61" s="166"/>
      <c r="L61" s="405" t="s">
        <v>98</v>
      </c>
      <c r="M61" s="406"/>
      <c r="N61" s="268"/>
      <c r="O61" s="269"/>
      <c r="P61" s="271"/>
      <c r="Q61" s="343"/>
      <c r="R61" s="342"/>
    </row>
    <row r="62" spans="1:19" x14ac:dyDescent="0.25">
      <c r="A62" s="315"/>
      <c r="B62" s="316"/>
      <c r="C62" s="317" t="s">
        <v>118</v>
      </c>
      <c r="D62" s="316"/>
      <c r="E62" s="316"/>
      <c r="F62" s="316"/>
      <c r="G62" s="318">
        <v>26</v>
      </c>
      <c r="H62" s="318"/>
      <c r="I62" s="318"/>
      <c r="J62" s="318"/>
      <c r="K62" s="318"/>
      <c r="L62" s="415" t="s">
        <v>116</v>
      </c>
      <c r="M62" s="416"/>
      <c r="N62" s="319"/>
      <c r="O62" s="320"/>
      <c r="P62" s="321"/>
      <c r="Q62" s="344">
        <f>+P65</f>
        <v>250</v>
      </c>
      <c r="R62" s="345"/>
    </row>
    <row r="63" spans="1:19" x14ac:dyDescent="0.25">
      <c r="A63" s="315"/>
      <c r="B63" s="316"/>
      <c r="C63" s="317"/>
      <c r="D63" s="316"/>
      <c r="E63" s="316"/>
      <c r="F63" s="316"/>
      <c r="G63" s="318"/>
      <c r="H63" s="318">
        <v>261</v>
      </c>
      <c r="I63" s="318"/>
      <c r="J63" s="318"/>
      <c r="K63" s="318"/>
      <c r="L63" s="415" t="s">
        <v>306</v>
      </c>
      <c r="M63" s="416"/>
      <c r="N63" s="319"/>
      <c r="O63" s="320"/>
      <c r="P63" s="321">
        <f>+P60</f>
        <v>250</v>
      </c>
      <c r="Q63" s="344"/>
      <c r="R63" s="345"/>
    </row>
    <row r="64" spans="1:19" x14ac:dyDescent="0.25">
      <c r="A64" s="315"/>
      <c r="B64" s="316"/>
      <c r="C64" s="317"/>
      <c r="D64" s="316"/>
      <c r="E64" s="316"/>
      <c r="F64" s="316"/>
      <c r="G64" s="318">
        <v>61</v>
      </c>
      <c r="H64" s="318"/>
      <c r="I64" s="318"/>
      <c r="J64" s="318"/>
      <c r="K64" s="318"/>
      <c r="L64" s="415" t="s">
        <v>117</v>
      </c>
      <c r="M64" s="416"/>
      <c r="N64" s="319"/>
      <c r="O64" s="320"/>
      <c r="P64" s="321"/>
      <c r="Q64" s="344"/>
      <c r="R64" s="345">
        <f>+P65</f>
        <v>250</v>
      </c>
    </row>
    <row r="65" spans="1:18" x14ac:dyDescent="0.25">
      <c r="A65" s="315"/>
      <c r="B65" s="316"/>
      <c r="C65" s="317"/>
      <c r="D65" s="316"/>
      <c r="E65" s="316"/>
      <c r="F65" s="316"/>
      <c r="G65" s="318"/>
      <c r="H65" s="318">
        <v>614</v>
      </c>
      <c r="I65" s="318"/>
      <c r="J65" s="318"/>
      <c r="K65" s="318"/>
      <c r="L65" s="415" t="s">
        <v>116</v>
      </c>
      <c r="M65" s="416"/>
      <c r="N65" s="319"/>
      <c r="O65" s="320"/>
      <c r="P65" s="321">
        <f>+P58</f>
        <v>250</v>
      </c>
      <c r="Q65" s="344"/>
      <c r="R65" s="345"/>
    </row>
    <row r="66" spans="1:18" x14ac:dyDescent="0.25">
      <c r="A66" s="22"/>
      <c r="B66" s="24"/>
      <c r="C66" s="164"/>
      <c r="D66" s="165"/>
      <c r="E66" s="165"/>
      <c r="F66" s="165"/>
      <c r="G66" s="166"/>
      <c r="H66" s="166"/>
      <c r="I66" s="166"/>
      <c r="J66" s="166"/>
      <c r="K66" s="166"/>
      <c r="L66" s="405" t="s">
        <v>115</v>
      </c>
      <c r="M66" s="406"/>
      <c r="N66" s="268"/>
      <c r="O66" s="269"/>
      <c r="P66" s="271"/>
      <c r="Q66" s="343"/>
      <c r="R66" s="342"/>
    </row>
    <row r="67" spans="1:18" x14ac:dyDescent="0.25">
      <c r="A67" s="22"/>
      <c r="B67" s="21"/>
      <c r="C67" s="167" t="s">
        <v>119</v>
      </c>
      <c r="D67" s="168"/>
      <c r="E67" s="168"/>
      <c r="F67" s="168"/>
      <c r="G67" s="169">
        <v>62</v>
      </c>
      <c r="H67" s="169"/>
      <c r="I67" s="169"/>
      <c r="J67" s="169"/>
      <c r="K67" s="169"/>
      <c r="L67" s="423" t="s">
        <v>99</v>
      </c>
      <c r="M67" s="424"/>
      <c r="N67" s="272"/>
      <c r="O67" s="273"/>
      <c r="P67" s="274"/>
      <c r="Q67" s="346">
        <f>+P68+P71</f>
        <v>4821.8143999999993</v>
      </c>
      <c r="R67" s="347"/>
    </row>
    <row r="68" spans="1:18" x14ac:dyDescent="0.25">
      <c r="A68" s="22"/>
      <c r="B68" s="24"/>
      <c r="C68" s="167"/>
      <c r="D68" s="168"/>
      <c r="E68" s="168"/>
      <c r="F68" s="168"/>
      <c r="G68" s="169"/>
      <c r="H68" s="169">
        <v>621</v>
      </c>
      <c r="I68" s="169"/>
      <c r="J68" s="169"/>
      <c r="K68" s="169"/>
      <c r="L68" s="423" t="s">
        <v>100</v>
      </c>
      <c r="M68" s="424"/>
      <c r="N68" s="272"/>
      <c r="O68" s="273"/>
      <c r="P68" s="274">
        <f>+O69+O70</f>
        <v>4636.3599999999997</v>
      </c>
      <c r="Q68" s="346"/>
      <c r="R68" s="347"/>
    </row>
    <row r="69" spans="1:18" x14ac:dyDescent="0.25">
      <c r="A69" s="22"/>
      <c r="B69" s="24"/>
      <c r="C69" s="167"/>
      <c r="D69" s="168"/>
      <c r="E69" s="168"/>
      <c r="F69" s="168"/>
      <c r="G69" s="169"/>
      <c r="H69" s="169"/>
      <c r="I69" s="169">
        <v>6211</v>
      </c>
      <c r="J69" s="169"/>
      <c r="K69" s="169"/>
      <c r="L69" s="429" t="s">
        <v>101</v>
      </c>
      <c r="M69" s="430"/>
      <c r="N69" s="275"/>
      <c r="O69" s="276">
        <v>4250</v>
      </c>
      <c r="P69" s="277"/>
      <c r="Q69" s="346"/>
      <c r="R69" s="347"/>
    </row>
    <row r="70" spans="1:18" x14ac:dyDescent="0.25">
      <c r="A70" s="22"/>
      <c r="B70" s="24"/>
      <c r="C70" s="167"/>
      <c r="D70" s="168"/>
      <c r="E70" s="168"/>
      <c r="F70" s="168"/>
      <c r="G70" s="169"/>
      <c r="H70" s="169"/>
      <c r="I70" s="169">
        <v>6215</v>
      </c>
      <c r="J70" s="169"/>
      <c r="K70" s="169"/>
      <c r="L70" s="423" t="s">
        <v>102</v>
      </c>
      <c r="M70" s="424"/>
      <c r="N70" s="272"/>
      <c r="O70" s="273">
        <v>386.36</v>
      </c>
      <c r="P70" s="274"/>
      <c r="Q70" s="346"/>
      <c r="R70" s="348"/>
    </row>
    <row r="71" spans="1:18" x14ac:dyDescent="0.25">
      <c r="A71" s="22"/>
      <c r="B71" s="24"/>
      <c r="C71" s="167"/>
      <c r="D71" s="168"/>
      <c r="E71" s="168"/>
      <c r="F71" s="168"/>
      <c r="G71" s="169"/>
      <c r="H71" s="169">
        <v>627</v>
      </c>
      <c r="I71" s="169"/>
      <c r="J71" s="169"/>
      <c r="K71" s="169"/>
      <c r="L71" s="423" t="s">
        <v>103</v>
      </c>
      <c r="M71" s="424"/>
      <c r="N71" s="272"/>
      <c r="O71" s="273"/>
      <c r="P71" s="274">
        <f>+O72</f>
        <v>185.45439999999999</v>
      </c>
      <c r="Q71" s="346"/>
      <c r="R71" s="347"/>
    </row>
    <row r="72" spans="1:18" x14ac:dyDescent="0.25">
      <c r="A72" s="22"/>
      <c r="B72" s="24"/>
      <c r="C72" s="167"/>
      <c r="D72" s="168"/>
      <c r="E72" s="168"/>
      <c r="F72" s="168"/>
      <c r="G72" s="170"/>
      <c r="H72" s="170"/>
      <c r="I72" s="170">
        <v>6271</v>
      </c>
      <c r="J72" s="170"/>
      <c r="K72" s="170"/>
      <c r="L72" s="423" t="s">
        <v>104</v>
      </c>
      <c r="M72" s="424"/>
      <c r="N72" s="272"/>
      <c r="O72" s="273">
        <f>+(O69+O70)*4%</f>
        <v>185.45439999999999</v>
      </c>
      <c r="P72" s="274"/>
      <c r="Q72" s="346"/>
      <c r="R72" s="347"/>
    </row>
    <row r="73" spans="1:18" x14ac:dyDescent="0.25">
      <c r="A73" s="22"/>
      <c r="B73" s="24"/>
      <c r="C73" s="167"/>
      <c r="D73" s="168"/>
      <c r="E73" s="168"/>
      <c r="F73" s="168"/>
      <c r="G73" s="170">
        <v>40</v>
      </c>
      <c r="H73" s="170"/>
      <c r="I73" s="170"/>
      <c r="J73" s="170"/>
      <c r="K73" s="170"/>
      <c r="L73" s="423" t="s">
        <v>105</v>
      </c>
      <c r="M73" s="424"/>
      <c r="N73" s="272"/>
      <c r="O73" s="273"/>
      <c r="P73" s="274"/>
      <c r="Q73" s="346"/>
      <c r="R73" s="347">
        <f>+P74</f>
        <v>788.18119999999999</v>
      </c>
    </row>
    <row r="74" spans="1:18" x14ac:dyDescent="0.25">
      <c r="A74" s="22"/>
      <c r="B74" s="24"/>
      <c r="C74" s="167"/>
      <c r="D74" s="168"/>
      <c r="E74" s="168"/>
      <c r="F74" s="168"/>
      <c r="G74" s="169"/>
      <c r="H74" s="169">
        <v>403</v>
      </c>
      <c r="I74" s="169"/>
      <c r="J74" s="169"/>
      <c r="K74" s="169"/>
      <c r="L74" s="423" t="s">
        <v>106</v>
      </c>
      <c r="M74" s="424"/>
      <c r="N74" s="272"/>
      <c r="O74" s="273"/>
      <c r="P74" s="274">
        <f>+O75+O76</f>
        <v>788.18119999999999</v>
      </c>
      <c r="Q74" s="346"/>
      <c r="R74" s="347"/>
    </row>
    <row r="75" spans="1:18" x14ac:dyDescent="0.25">
      <c r="A75" s="22"/>
      <c r="B75" s="24"/>
      <c r="C75" s="167"/>
      <c r="D75" s="168"/>
      <c r="E75" s="168"/>
      <c r="F75" s="168"/>
      <c r="G75" s="169"/>
      <c r="H75" s="169"/>
      <c r="I75" s="169">
        <v>4031</v>
      </c>
      <c r="J75" s="169"/>
      <c r="K75" s="169"/>
      <c r="L75" s="423" t="s">
        <v>107</v>
      </c>
      <c r="M75" s="424"/>
      <c r="N75" s="272"/>
      <c r="O75" s="273">
        <f>+O72</f>
        <v>185.45439999999999</v>
      </c>
      <c r="P75" s="274"/>
      <c r="Q75" s="346"/>
      <c r="R75" s="347"/>
    </row>
    <row r="76" spans="1:18" x14ac:dyDescent="0.25">
      <c r="A76" s="22"/>
      <c r="B76" s="24"/>
      <c r="C76" s="167"/>
      <c r="D76" s="168"/>
      <c r="E76" s="168"/>
      <c r="F76" s="168"/>
      <c r="G76" s="169"/>
      <c r="H76" s="169"/>
      <c r="I76" s="169">
        <v>4032</v>
      </c>
      <c r="J76" s="169"/>
      <c r="K76" s="169"/>
      <c r="L76" s="431" t="s">
        <v>108</v>
      </c>
      <c r="M76" s="432"/>
      <c r="N76" s="278"/>
      <c r="O76" s="276">
        <f>+N77+N78</f>
        <v>602.72680000000003</v>
      </c>
      <c r="P76" s="277"/>
      <c r="Q76" s="346"/>
      <c r="R76" s="347"/>
    </row>
    <row r="77" spans="1:18" x14ac:dyDescent="0.25">
      <c r="A77" s="22"/>
      <c r="B77" s="24"/>
      <c r="C77" s="167"/>
      <c r="D77" s="168"/>
      <c r="E77" s="168"/>
      <c r="F77" s="168"/>
      <c r="G77" s="169"/>
      <c r="H77" s="169"/>
      <c r="I77" s="169"/>
      <c r="J77" s="169"/>
      <c r="K77" s="171"/>
      <c r="L77" s="425" t="s">
        <v>114</v>
      </c>
      <c r="M77" s="426"/>
      <c r="N77" s="279">
        <f>+O69*0.13</f>
        <v>552.5</v>
      </c>
      <c r="O77" s="276"/>
      <c r="P77" s="277"/>
      <c r="Q77" s="346"/>
      <c r="R77" s="347"/>
    </row>
    <row r="78" spans="1:18" x14ac:dyDescent="0.25">
      <c r="A78" s="22"/>
      <c r="B78" s="24"/>
      <c r="C78" s="167"/>
      <c r="D78" s="168"/>
      <c r="E78" s="168"/>
      <c r="F78" s="168"/>
      <c r="G78" s="169"/>
      <c r="H78" s="169"/>
      <c r="I78" s="169"/>
      <c r="J78" s="169"/>
      <c r="K78" s="171"/>
      <c r="L78" s="427" t="s">
        <v>113</v>
      </c>
      <c r="M78" s="428"/>
      <c r="N78" s="279">
        <f>+O70*0.13</f>
        <v>50.226800000000004</v>
      </c>
      <c r="O78" s="276"/>
      <c r="P78" s="277"/>
      <c r="Q78" s="346"/>
      <c r="R78" s="347"/>
    </row>
    <row r="79" spans="1:18" x14ac:dyDescent="0.25">
      <c r="A79" s="22"/>
      <c r="B79" s="24"/>
      <c r="C79" s="167"/>
      <c r="D79" s="168"/>
      <c r="E79" s="168"/>
      <c r="F79" s="168"/>
      <c r="G79" s="169">
        <v>41</v>
      </c>
      <c r="H79" s="169"/>
      <c r="I79" s="169"/>
      <c r="J79" s="169"/>
      <c r="K79" s="169"/>
      <c r="L79" s="423" t="s">
        <v>112</v>
      </c>
      <c r="M79" s="424"/>
      <c r="N79" s="272"/>
      <c r="O79" s="273"/>
      <c r="P79" s="274"/>
      <c r="Q79" s="346"/>
      <c r="R79" s="347">
        <f>+P80</f>
        <v>4033.6332000000002</v>
      </c>
    </row>
    <row r="80" spans="1:18" x14ac:dyDescent="0.25">
      <c r="A80" s="22"/>
      <c r="B80" s="24"/>
      <c r="C80" s="167"/>
      <c r="D80" s="168"/>
      <c r="E80" s="168"/>
      <c r="F80" s="168"/>
      <c r="G80" s="169"/>
      <c r="H80" s="169">
        <v>411</v>
      </c>
      <c r="I80" s="169"/>
      <c r="J80" s="169"/>
      <c r="K80" s="169"/>
      <c r="L80" s="423" t="s">
        <v>109</v>
      </c>
      <c r="M80" s="424"/>
      <c r="N80" s="272"/>
      <c r="O80" s="273"/>
      <c r="P80" s="274">
        <f>+O81+O82</f>
        <v>4033.6332000000002</v>
      </c>
      <c r="Q80" s="346"/>
      <c r="R80" s="347"/>
    </row>
    <row r="81" spans="1:18" x14ac:dyDescent="0.25">
      <c r="A81" s="22"/>
      <c r="B81" s="24"/>
      <c r="C81" s="167"/>
      <c r="D81" s="168"/>
      <c r="E81" s="168"/>
      <c r="F81" s="168"/>
      <c r="G81" s="169"/>
      <c r="H81" s="169"/>
      <c r="I81" s="169">
        <v>4111</v>
      </c>
      <c r="J81" s="169"/>
      <c r="K81" s="169"/>
      <c r="L81" s="429" t="s">
        <v>110</v>
      </c>
      <c r="M81" s="430"/>
      <c r="N81" s="275"/>
      <c r="O81" s="276">
        <f>+O69-N77</f>
        <v>3697.5</v>
      </c>
      <c r="P81" s="277"/>
      <c r="Q81" s="346"/>
      <c r="R81" s="347"/>
    </row>
    <row r="82" spans="1:18" x14ac:dyDescent="0.25">
      <c r="A82" s="22"/>
      <c r="B82" s="24"/>
      <c r="C82" s="167"/>
      <c r="D82" s="168"/>
      <c r="E82" s="168"/>
      <c r="F82" s="168"/>
      <c r="G82" s="169"/>
      <c r="H82" s="169"/>
      <c r="I82" s="169">
        <v>4115</v>
      </c>
      <c r="J82" s="169"/>
      <c r="K82" s="169"/>
      <c r="L82" s="423" t="s">
        <v>111</v>
      </c>
      <c r="M82" s="424"/>
      <c r="N82" s="272"/>
      <c r="O82" s="273">
        <f>+O70-N78</f>
        <v>336.13319999999999</v>
      </c>
      <c r="P82" s="274"/>
      <c r="Q82" s="349"/>
      <c r="R82" s="347"/>
    </row>
    <row r="83" spans="1:18" x14ac:dyDescent="0.25">
      <c r="A83" s="22"/>
      <c r="B83" s="24"/>
      <c r="C83" s="167"/>
      <c r="D83" s="168"/>
      <c r="E83" s="168"/>
      <c r="F83" s="168"/>
      <c r="G83" s="169"/>
      <c r="H83" s="169"/>
      <c r="I83" s="169"/>
      <c r="J83" s="169"/>
      <c r="K83" s="169"/>
      <c r="L83" s="405" t="s">
        <v>175</v>
      </c>
      <c r="M83" s="406"/>
      <c r="N83" s="272"/>
      <c r="O83" s="273"/>
      <c r="P83" s="274"/>
      <c r="Q83" s="346"/>
      <c r="R83" s="347"/>
    </row>
    <row r="84" spans="1:18" x14ac:dyDescent="0.25">
      <c r="A84" s="22"/>
      <c r="B84" s="24"/>
      <c r="C84" s="172" t="s">
        <v>183</v>
      </c>
      <c r="D84" s="173"/>
      <c r="E84" s="173"/>
      <c r="F84" s="173"/>
      <c r="G84" s="174">
        <v>63</v>
      </c>
      <c r="H84" s="174"/>
      <c r="I84" s="174"/>
      <c r="J84" s="174"/>
      <c r="K84" s="174"/>
      <c r="L84" s="417" t="s">
        <v>192</v>
      </c>
      <c r="M84" s="418"/>
      <c r="N84" s="280"/>
      <c r="O84" s="281"/>
      <c r="P84" s="282"/>
      <c r="Q84" s="350">
        <f>+P85+P88+P90+P92</f>
        <v>1224</v>
      </c>
      <c r="R84" s="351"/>
    </row>
    <row r="85" spans="1:18" x14ac:dyDescent="0.25">
      <c r="A85" s="22"/>
      <c r="B85" s="24"/>
      <c r="C85" s="172"/>
      <c r="D85" s="173"/>
      <c r="E85" s="173"/>
      <c r="F85" s="173"/>
      <c r="G85" s="174"/>
      <c r="H85" s="174">
        <v>631</v>
      </c>
      <c r="I85" s="174"/>
      <c r="J85" s="174"/>
      <c r="K85" s="174"/>
      <c r="L85" s="417" t="s">
        <v>193</v>
      </c>
      <c r="M85" s="418"/>
      <c r="N85" s="280"/>
      <c r="O85" s="281"/>
      <c r="P85" s="282">
        <f>+O86</f>
        <v>150</v>
      </c>
      <c r="Q85" s="350"/>
      <c r="R85" s="351"/>
    </row>
    <row r="86" spans="1:18" x14ac:dyDescent="0.25">
      <c r="A86" s="22"/>
      <c r="B86" s="21"/>
      <c r="C86" s="172"/>
      <c r="D86" s="173"/>
      <c r="E86" s="173"/>
      <c r="F86" s="173"/>
      <c r="G86" s="175"/>
      <c r="H86" s="176"/>
      <c r="I86" s="176">
        <v>6311</v>
      </c>
      <c r="J86" s="176"/>
      <c r="K86" s="176"/>
      <c r="L86" s="417" t="s">
        <v>194</v>
      </c>
      <c r="M86" s="418"/>
      <c r="N86" s="283"/>
      <c r="O86" s="284">
        <v>150</v>
      </c>
      <c r="P86" s="285"/>
      <c r="Q86" s="352"/>
      <c r="R86" s="351"/>
    </row>
    <row r="87" spans="1:18" x14ac:dyDescent="0.25">
      <c r="A87" s="22"/>
      <c r="B87" s="24"/>
      <c r="C87" s="172"/>
      <c r="D87" s="173"/>
      <c r="E87" s="173"/>
      <c r="F87" s="173"/>
      <c r="G87" s="174"/>
      <c r="H87" s="174"/>
      <c r="I87" s="174"/>
      <c r="J87" s="174">
        <v>63111</v>
      </c>
      <c r="K87" s="174"/>
      <c r="L87" s="417" t="s">
        <v>195</v>
      </c>
      <c r="M87" s="418"/>
      <c r="N87" s="280">
        <v>150</v>
      </c>
      <c r="O87" s="281"/>
      <c r="P87" s="282"/>
      <c r="Q87" s="352"/>
      <c r="R87" s="351"/>
    </row>
    <row r="88" spans="1:18" x14ac:dyDescent="0.25">
      <c r="A88" s="22"/>
      <c r="B88" s="24"/>
      <c r="C88" s="172"/>
      <c r="D88" s="173"/>
      <c r="E88" s="173"/>
      <c r="F88" s="173"/>
      <c r="G88" s="174"/>
      <c r="H88" s="174">
        <v>634</v>
      </c>
      <c r="I88" s="174"/>
      <c r="J88" s="174"/>
      <c r="K88" s="174"/>
      <c r="L88" s="417" t="s">
        <v>196</v>
      </c>
      <c r="M88" s="418"/>
      <c r="N88" s="280"/>
      <c r="O88" s="281"/>
      <c r="P88" s="282">
        <f>+O89</f>
        <v>80</v>
      </c>
      <c r="Q88" s="350"/>
      <c r="R88" s="351"/>
    </row>
    <row r="89" spans="1:18" x14ac:dyDescent="0.25">
      <c r="A89" s="22"/>
      <c r="B89" s="24"/>
      <c r="C89" s="172"/>
      <c r="D89" s="173"/>
      <c r="E89" s="173"/>
      <c r="F89" s="173"/>
      <c r="G89" s="174"/>
      <c r="H89" s="174"/>
      <c r="I89" s="174">
        <v>6343</v>
      </c>
      <c r="J89" s="174"/>
      <c r="K89" s="174"/>
      <c r="L89" s="417" t="s">
        <v>197</v>
      </c>
      <c r="M89" s="418"/>
      <c r="N89" s="280"/>
      <c r="O89" s="281">
        <v>80</v>
      </c>
      <c r="P89" s="282"/>
      <c r="Q89" s="350"/>
      <c r="R89" s="351"/>
    </row>
    <row r="90" spans="1:18" x14ac:dyDescent="0.25">
      <c r="A90" s="22"/>
      <c r="B90" s="24"/>
      <c r="C90" s="172"/>
      <c r="D90" s="173"/>
      <c r="E90" s="173"/>
      <c r="F90" s="173"/>
      <c r="G90" s="175"/>
      <c r="H90" s="175">
        <v>635</v>
      </c>
      <c r="I90" s="175"/>
      <c r="J90" s="175"/>
      <c r="K90" s="175"/>
      <c r="L90" s="417" t="s">
        <v>198</v>
      </c>
      <c r="M90" s="418"/>
      <c r="N90" s="280"/>
      <c r="O90" s="281"/>
      <c r="P90" s="282">
        <f>+O91</f>
        <v>864</v>
      </c>
      <c r="Q90" s="350"/>
      <c r="R90" s="351"/>
    </row>
    <row r="91" spans="1:18" x14ac:dyDescent="0.25">
      <c r="A91" s="22"/>
      <c r="B91" s="24"/>
      <c r="C91" s="172"/>
      <c r="D91" s="173"/>
      <c r="E91" s="173"/>
      <c r="F91" s="173"/>
      <c r="G91" s="175"/>
      <c r="H91" s="175"/>
      <c r="I91" s="175">
        <v>6353</v>
      </c>
      <c r="J91" s="175"/>
      <c r="K91" s="175"/>
      <c r="L91" s="417" t="s">
        <v>199</v>
      </c>
      <c r="M91" s="418"/>
      <c r="N91" s="280"/>
      <c r="O91" s="281">
        <v>864</v>
      </c>
      <c r="P91" s="282"/>
      <c r="Q91" s="350"/>
      <c r="R91" s="351"/>
    </row>
    <row r="92" spans="1:18" x14ac:dyDescent="0.25">
      <c r="A92" s="22"/>
      <c r="B92" s="24"/>
      <c r="C92" s="172"/>
      <c r="D92" s="173"/>
      <c r="E92" s="173"/>
      <c r="F92" s="173"/>
      <c r="G92" s="174"/>
      <c r="H92" s="174">
        <v>636</v>
      </c>
      <c r="I92" s="174"/>
      <c r="J92" s="174"/>
      <c r="K92" s="174"/>
      <c r="L92" s="417" t="s">
        <v>200</v>
      </c>
      <c r="M92" s="418"/>
      <c r="N92" s="280"/>
      <c r="O92" s="281"/>
      <c r="P92" s="282">
        <f>+O93</f>
        <v>130</v>
      </c>
      <c r="Q92" s="352"/>
      <c r="R92" s="351"/>
    </row>
    <row r="93" spans="1:18" x14ac:dyDescent="0.25">
      <c r="A93" s="22"/>
      <c r="B93" s="24"/>
      <c r="C93" s="172"/>
      <c r="D93" s="173"/>
      <c r="E93" s="173"/>
      <c r="F93" s="173"/>
      <c r="G93" s="174"/>
      <c r="H93" s="174"/>
      <c r="I93" s="174">
        <v>6361</v>
      </c>
      <c r="J93" s="174"/>
      <c r="K93" s="174"/>
      <c r="L93" s="417" t="s">
        <v>201</v>
      </c>
      <c r="M93" s="418"/>
      <c r="N93" s="280"/>
      <c r="O93" s="281">
        <v>130</v>
      </c>
      <c r="P93" s="282"/>
      <c r="Q93" s="352"/>
      <c r="R93" s="351"/>
    </row>
    <row r="94" spans="1:18" x14ac:dyDescent="0.25">
      <c r="A94" s="22"/>
      <c r="B94" s="24"/>
      <c r="C94" s="172"/>
      <c r="D94" s="173"/>
      <c r="E94" s="173"/>
      <c r="F94" s="173"/>
      <c r="G94" s="174">
        <v>46</v>
      </c>
      <c r="H94" s="174"/>
      <c r="I94" s="174"/>
      <c r="J94" s="174"/>
      <c r="K94" s="174"/>
      <c r="L94" s="417" t="s">
        <v>202</v>
      </c>
      <c r="M94" s="418"/>
      <c r="N94" s="280"/>
      <c r="O94" s="281"/>
      <c r="P94" s="282"/>
      <c r="Q94" s="352"/>
      <c r="R94" s="351">
        <f>+P95</f>
        <v>1224</v>
      </c>
    </row>
    <row r="95" spans="1:18" x14ac:dyDescent="0.25">
      <c r="A95" s="22"/>
      <c r="B95" s="24"/>
      <c r="C95" s="172"/>
      <c r="D95" s="173"/>
      <c r="E95" s="173"/>
      <c r="F95" s="173"/>
      <c r="G95" s="174"/>
      <c r="H95" s="174">
        <v>469</v>
      </c>
      <c r="I95" s="174"/>
      <c r="J95" s="174"/>
      <c r="K95" s="174"/>
      <c r="L95" s="417" t="s">
        <v>203</v>
      </c>
      <c r="M95" s="418"/>
      <c r="N95" s="280"/>
      <c r="O95" s="281"/>
      <c r="P95" s="282">
        <f>+P85+P88+P90+P92</f>
        <v>1224</v>
      </c>
      <c r="Q95" s="352"/>
      <c r="R95" s="351"/>
    </row>
    <row r="96" spans="1:18" x14ac:dyDescent="0.25">
      <c r="A96" s="22"/>
      <c r="B96" s="24"/>
      <c r="C96" s="172" t="s">
        <v>183</v>
      </c>
      <c r="D96" s="173"/>
      <c r="E96" s="173"/>
      <c r="F96" s="173"/>
      <c r="G96" s="174"/>
      <c r="H96" s="174"/>
      <c r="I96" s="174"/>
      <c r="J96" s="174"/>
      <c r="K96" s="174"/>
      <c r="L96" s="405" t="s">
        <v>178</v>
      </c>
      <c r="M96" s="406"/>
      <c r="N96" s="280"/>
      <c r="O96" s="281"/>
      <c r="P96" s="282"/>
      <c r="Q96" s="352"/>
      <c r="R96" s="351"/>
    </row>
    <row r="97" spans="1:18" x14ac:dyDescent="0.25">
      <c r="A97" s="22"/>
      <c r="B97" s="24"/>
      <c r="C97" s="172"/>
      <c r="D97" s="173"/>
      <c r="E97" s="173"/>
      <c r="F97" s="173"/>
      <c r="G97" s="322">
        <v>64</v>
      </c>
      <c r="H97" s="322"/>
      <c r="I97" s="322"/>
      <c r="J97" s="322"/>
      <c r="K97" s="322"/>
      <c r="L97" s="421" t="s">
        <v>204</v>
      </c>
      <c r="M97" s="422"/>
      <c r="N97" s="323"/>
      <c r="O97" s="324"/>
      <c r="P97" s="325"/>
      <c r="Q97" s="344">
        <f>+P98</f>
        <v>32.9</v>
      </c>
      <c r="R97" s="345"/>
    </row>
    <row r="98" spans="1:18" x14ac:dyDescent="0.25">
      <c r="A98" s="22"/>
      <c r="B98" s="24"/>
      <c r="C98" s="172"/>
      <c r="D98" s="173"/>
      <c r="E98" s="173"/>
      <c r="F98" s="173"/>
      <c r="G98" s="322"/>
      <c r="H98" s="322">
        <v>644</v>
      </c>
      <c r="I98" s="322"/>
      <c r="J98" s="322"/>
      <c r="K98" s="322"/>
      <c r="L98" s="415" t="s">
        <v>205</v>
      </c>
      <c r="M98" s="416"/>
      <c r="N98" s="319"/>
      <c r="O98" s="320"/>
      <c r="P98" s="321">
        <f>+O99</f>
        <v>32.9</v>
      </c>
      <c r="Q98" s="344"/>
      <c r="R98" s="345"/>
    </row>
    <row r="99" spans="1:18" x14ac:dyDescent="0.25">
      <c r="A99" s="22"/>
      <c r="B99" s="24"/>
      <c r="C99" s="172"/>
      <c r="D99" s="173"/>
      <c r="E99" s="173"/>
      <c r="F99" s="173"/>
      <c r="G99" s="322"/>
      <c r="H99" s="322"/>
      <c r="I99" s="322">
        <v>6443</v>
      </c>
      <c r="J99" s="322"/>
      <c r="K99" s="322"/>
      <c r="L99" s="415" t="s">
        <v>206</v>
      </c>
      <c r="M99" s="416"/>
      <c r="N99" s="319"/>
      <c r="O99" s="320">
        <v>32.9</v>
      </c>
      <c r="P99" s="321"/>
      <c r="Q99" s="344"/>
      <c r="R99" s="345"/>
    </row>
    <row r="100" spans="1:18" x14ac:dyDescent="0.25">
      <c r="A100" s="22"/>
      <c r="B100" s="24"/>
      <c r="C100" s="172"/>
      <c r="D100" s="173"/>
      <c r="E100" s="173"/>
      <c r="F100" s="173"/>
      <c r="G100" s="322">
        <v>40</v>
      </c>
      <c r="H100" s="322"/>
      <c r="I100" s="322"/>
      <c r="J100" s="322"/>
      <c r="K100" s="322"/>
      <c r="L100" s="415" t="s">
        <v>207</v>
      </c>
      <c r="M100" s="416"/>
      <c r="N100" s="319"/>
      <c r="O100" s="320"/>
      <c r="P100" s="321"/>
      <c r="Q100" s="344"/>
      <c r="R100" s="345">
        <f>+P101</f>
        <v>32.9</v>
      </c>
    </row>
    <row r="101" spans="1:18" x14ac:dyDescent="0.25">
      <c r="A101" s="22"/>
      <c r="B101" s="24"/>
      <c r="C101" s="172"/>
      <c r="D101" s="173"/>
      <c r="E101" s="173"/>
      <c r="F101" s="173"/>
      <c r="G101" s="322"/>
      <c r="H101" s="322">
        <v>403</v>
      </c>
      <c r="I101" s="322"/>
      <c r="J101" s="322"/>
      <c r="K101" s="322"/>
      <c r="L101" s="421" t="s">
        <v>208</v>
      </c>
      <c r="M101" s="422"/>
      <c r="N101" s="323"/>
      <c r="O101" s="324"/>
      <c r="P101" s="325">
        <f>+O102</f>
        <v>32.9</v>
      </c>
      <c r="Q101" s="353"/>
      <c r="R101" s="345"/>
    </row>
    <row r="102" spans="1:18" x14ac:dyDescent="0.25">
      <c r="A102" s="22"/>
      <c r="B102" s="24"/>
      <c r="C102" s="172"/>
      <c r="D102" s="173"/>
      <c r="E102" s="173"/>
      <c r="F102" s="173"/>
      <c r="G102" s="318"/>
      <c r="H102" s="318"/>
      <c r="I102" s="318">
        <v>4039</v>
      </c>
      <c r="J102" s="318"/>
      <c r="K102" s="318"/>
      <c r="L102" s="415" t="s">
        <v>173</v>
      </c>
      <c r="M102" s="416"/>
      <c r="N102" s="319"/>
      <c r="O102" s="320">
        <f>+O99</f>
        <v>32.9</v>
      </c>
      <c r="P102" s="321"/>
      <c r="Q102" s="353"/>
      <c r="R102" s="345"/>
    </row>
    <row r="103" spans="1:18" x14ac:dyDescent="0.25">
      <c r="A103" s="22"/>
      <c r="B103" s="24"/>
      <c r="C103" s="172"/>
      <c r="D103" s="173"/>
      <c r="E103" s="173"/>
      <c r="F103" s="173"/>
      <c r="G103" s="174"/>
      <c r="H103" s="174"/>
      <c r="I103" s="174"/>
      <c r="J103" s="174"/>
      <c r="K103" s="174"/>
      <c r="L103" s="405" t="s">
        <v>181</v>
      </c>
      <c r="M103" s="406"/>
      <c r="N103" s="280"/>
      <c r="O103" s="281"/>
      <c r="P103" s="282"/>
      <c r="Q103" s="352"/>
      <c r="R103" s="351"/>
    </row>
    <row r="104" spans="1:18" x14ac:dyDescent="0.25">
      <c r="A104" s="22"/>
      <c r="B104" s="24"/>
      <c r="C104" s="172"/>
      <c r="D104" s="173"/>
      <c r="E104" s="173"/>
      <c r="F104" s="173"/>
      <c r="G104" s="174">
        <v>12</v>
      </c>
      <c r="H104" s="174"/>
      <c r="I104" s="174"/>
      <c r="J104" s="174"/>
      <c r="K104" s="174"/>
      <c r="L104" s="417" t="s">
        <v>330</v>
      </c>
      <c r="M104" s="418"/>
      <c r="N104" s="280"/>
      <c r="O104" s="281"/>
      <c r="P104" s="292"/>
      <c r="Q104" s="352">
        <f>+P105</f>
        <v>35000</v>
      </c>
      <c r="R104" s="354"/>
    </row>
    <row r="105" spans="1:18" x14ac:dyDescent="0.25">
      <c r="A105" s="22"/>
      <c r="B105" s="24"/>
      <c r="C105" s="172"/>
      <c r="D105" s="173"/>
      <c r="E105" s="173"/>
      <c r="F105" s="173"/>
      <c r="G105" s="174"/>
      <c r="H105" s="174">
        <v>121</v>
      </c>
      <c r="I105" s="174"/>
      <c r="J105" s="174"/>
      <c r="K105" s="174"/>
      <c r="L105" s="417" t="s">
        <v>156</v>
      </c>
      <c r="M105" s="418"/>
      <c r="N105" s="280"/>
      <c r="O105" s="281"/>
      <c r="P105" s="292">
        <v>35000</v>
      </c>
      <c r="Q105" s="352"/>
      <c r="R105" s="354"/>
    </row>
    <row r="106" spans="1:18" x14ac:dyDescent="0.25">
      <c r="A106" s="22"/>
      <c r="B106" s="24"/>
      <c r="C106" s="172"/>
      <c r="D106" s="173"/>
      <c r="E106" s="173"/>
      <c r="F106" s="173"/>
      <c r="G106" s="174">
        <v>70</v>
      </c>
      <c r="H106" s="174"/>
      <c r="I106" s="174"/>
      <c r="J106" s="174"/>
      <c r="K106" s="174"/>
      <c r="L106" s="417" t="s">
        <v>179</v>
      </c>
      <c r="M106" s="418"/>
      <c r="N106" s="280"/>
      <c r="O106" s="281"/>
      <c r="P106" s="292"/>
      <c r="Q106" s="352"/>
      <c r="R106" s="354">
        <f>+P107</f>
        <v>35000</v>
      </c>
    </row>
    <row r="107" spans="1:18" x14ac:dyDescent="0.25">
      <c r="A107" s="22"/>
      <c r="B107" s="24"/>
      <c r="C107" s="172"/>
      <c r="D107" s="173"/>
      <c r="E107" s="173"/>
      <c r="F107" s="173"/>
      <c r="G107" s="174"/>
      <c r="H107" s="174">
        <v>702</v>
      </c>
      <c r="I107" s="174"/>
      <c r="J107" s="174"/>
      <c r="K107" s="174"/>
      <c r="L107" s="417" t="s">
        <v>180</v>
      </c>
      <c r="M107" s="418"/>
      <c r="N107" s="280"/>
      <c r="O107" s="281"/>
      <c r="P107" s="292">
        <v>35000</v>
      </c>
      <c r="Q107" s="352"/>
      <c r="R107" s="354"/>
    </row>
    <row r="108" spans="1:18" x14ac:dyDescent="0.25">
      <c r="A108" s="22"/>
      <c r="B108" s="24"/>
      <c r="C108" s="172"/>
      <c r="D108" s="173"/>
      <c r="E108" s="173"/>
      <c r="F108" s="173"/>
      <c r="G108" s="174"/>
      <c r="H108" s="174"/>
      <c r="I108" s="174">
        <v>7023</v>
      </c>
      <c r="J108" s="174"/>
      <c r="K108" s="174"/>
      <c r="L108" s="417" t="s">
        <v>331</v>
      </c>
      <c r="M108" s="418"/>
      <c r="N108" s="280"/>
      <c r="O108" s="281">
        <f>+P107</f>
        <v>35000</v>
      </c>
      <c r="P108" s="292"/>
      <c r="Q108" s="352"/>
      <c r="R108" s="354"/>
    </row>
    <row r="109" spans="1:18" x14ac:dyDescent="0.25">
      <c r="A109" s="22"/>
      <c r="B109" s="24"/>
      <c r="C109" s="172"/>
      <c r="D109" s="173"/>
      <c r="E109" s="173"/>
      <c r="F109" s="173"/>
      <c r="G109" s="174"/>
      <c r="H109" s="174"/>
      <c r="I109" s="174"/>
      <c r="J109" s="174"/>
      <c r="K109" s="174"/>
      <c r="L109" s="419" t="s">
        <v>329</v>
      </c>
      <c r="M109" s="420"/>
      <c r="N109" s="280"/>
      <c r="O109" s="281"/>
      <c r="P109" s="292"/>
      <c r="Q109" s="352"/>
      <c r="R109" s="354"/>
    </row>
    <row r="110" spans="1:18" x14ac:dyDescent="0.25">
      <c r="A110" s="22"/>
      <c r="B110" s="24"/>
      <c r="C110" s="172"/>
      <c r="D110" s="173"/>
      <c r="E110" s="173"/>
      <c r="F110" s="173"/>
      <c r="G110" s="174"/>
      <c r="H110" s="174"/>
      <c r="I110" s="174"/>
      <c r="J110" s="174"/>
      <c r="K110" s="174"/>
      <c r="L110" s="405" t="s">
        <v>186</v>
      </c>
      <c r="M110" s="406"/>
      <c r="N110" s="280"/>
      <c r="O110" s="281"/>
      <c r="P110" s="292"/>
      <c r="Q110" s="352"/>
      <c r="R110" s="354"/>
    </row>
    <row r="111" spans="1:18" x14ac:dyDescent="0.25">
      <c r="A111" s="315"/>
      <c r="B111" s="316"/>
      <c r="C111" s="317"/>
      <c r="D111" s="316"/>
      <c r="E111" s="316"/>
      <c r="F111" s="316"/>
      <c r="G111" s="318">
        <v>10</v>
      </c>
      <c r="H111" s="318"/>
      <c r="I111" s="318"/>
      <c r="J111" s="318"/>
      <c r="K111" s="318"/>
      <c r="L111" s="415" t="s">
        <v>176</v>
      </c>
      <c r="M111" s="416"/>
      <c r="N111" s="319"/>
      <c r="O111" s="320"/>
      <c r="P111" s="326"/>
      <c r="Q111" s="353">
        <f>+P112</f>
        <v>22876.073199999999</v>
      </c>
      <c r="R111" s="355"/>
    </row>
    <row r="112" spans="1:18" x14ac:dyDescent="0.25">
      <c r="A112" s="315"/>
      <c r="B112" s="316"/>
      <c r="C112" s="317"/>
      <c r="D112" s="316"/>
      <c r="E112" s="316"/>
      <c r="F112" s="316"/>
      <c r="G112" s="318"/>
      <c r="H112" s="318">
        <v>101</v>
      </c>
      <c r="I112" s="318"/>
      <c r="J112" s="318"/>
      <c r="K112" s="318"/>
      <c r="L112" s="415" t="s">
        <v>30</v>
      </c>
      <c r="M112" s="416"/>
      <c r="N112" s="319"/>
      <c r="O112" s="320"/>
      <c r="P112" s="326">
        <f>SUM(P114:P116)</f>
        <v>22876.073199999999</v>
      </c>
      <c r="Q112" s="353"/>
      <c r="R112" s="355"/>
    </row>
    <row r="113" spans="1:18" x14ac:dyDescent="0.25">
      <c r="A113" s="315"/>
      <c r="B113" s="316"/>
      <c r="C113" s="317"/>
      <c r="D113" s="316"/>
      <c r="E113" s="316"/>
      <c r="F113" s="316"/>
      <c r="G113" s="318">
        <v>10</v>
      </c>
      <c r="H113" s="318"/>
      <c r="I113" s="318"/>
      <c r="J113" s="318"/>
      <c r="K113" s="318"/>
      <c r="L113" s="415" t="s">
        <v>176</v>
      </c>
      <c r="M113" s="416"/>
      <c r="N113" s="319"/>
      <c r="O113" s="320"/>
      <c r="P113" s="326"/>
      <c r="Q113" s="353"/>
      <c r="R113" s="355">
        <f>+P114</f>
        <v>4283.6332000000002</v>
      </c>
    </row>
    <row r="114" spans="1:18" x14ac:dyDescent="0.25">
      <c r="A114" s="315"/>
      <c r="B114" s="316"/>
      <c r="C114" s="317"/>
      <c r="D114" s="316"/>
      <c r="E114" s="316"/>
      <c r="F114" s="316"/>
      <c r="G114" s="318"/>
      <c r="H114" s="318">
        <v>104</v>
      </c>
      <c r="I114" s="318"/>
      <c r="J114" s="318"/>
      <c r="K114" s="318"/>
      <c r="L114" s="415" t="s">
        <v>326</v>
      </c>
      <c r="M114" s="416"/>
      <c r="N114" s="319"/>
      <c r="O114" s="320"/>
      <c r="P114" s="326">
        <f>+CAJA!F10+CAJA!F12</f>
        <v>4283.6332000000002</v>
      </c>
      <c r="Q114" s="353"/>
      <c r="R114" s="355"/>
    </row>
    <row r="115" spans="1:18" x14ac:dyDescent="0.25">
      <c r="A115" s="315"/>
      <c r="B115" s="316"/>
      <c r="C115" s="317"/>
      <c r="D115" s="316"/>
      <c r="E115" s="316"/>
      <c r="F115" s="316"/>
      <c r="G115" s="318">
        <v>45</v>
      </c>
      <c r="H115" s="318"/>
      <c r="I115" s="318"/>
      <c r="J115" s="318"/>
      <c r="K115" s="318"/>
      <c r="L115" s="415" t="s">
        <v>324</v>
      </c>
      <c r="M115" s="416"/>
      <c r="N115" s="319"/>
      <c r="O115" s="320"/>
      <c r="P115" s="326"/>
      <c r="Q115" s="353"/>
      <c r="R115" s="355">
        <f>+P116</f>
        <v>18592.439999999999</v>
      </c>
    </row>
    <row r="116" spans="1:18" x14ac:dyDescent="0.25">
      <c r="A116" s="315"/>
      <c r="B116" s="316"/>
      <c r="C116" s="317"/>
      <c r="D116" s="316"/>
      <c r="E116" s="316"/>
      <c r="F116" s="316"/>
      <c r="G116" s="318"/>
      <c r="H116" s="318">
        <v>451</v>
      </c>
      <c r="I116" s="318"/>
      <c r="J116" s="318"/>
      <c r="K116" s="318"/>
      <c r="L116" s="415" t="s">
        <v>191</v>
      </c>
      <c r="M116" s="416"/>
      <c r="N116" s="319"/>
      <c r="O116" s="320"/>
      <c r="P116" s="326">
        <f>+CAJA!F8</f>
        <v>18592.439999999999</v>
      </c>
      <c r="Q116" s="353"/>
      <c r="R116" s="355"/>
    </row>
    <row r="117" spans="1:18" x14ac:dyDescent="0.25">
      <c r="A117" s="315"/>
      <c r="B117" s="316"/>
      <c r="C117" s="317"/>
      <c r="D117" s="316"/>
      <c r="E117" s="316"/>
      <c r="F117" s="316"/>
      <c r="G117" s="318"/>
      <c r="H117" s="318"/>
      <c r="I117" s="318"/>
      <c r="J117" s="318"/>
      <c r="K117" s="318"/>
      <c r="L117" s="413" t="s">
        <v>321</v>
      </c>
      <c r="M117" s="414"/>
      <c r="N117" s="319"/>
      <c r="O117" s="320"/>
      <c r="P117" s="326"/>
      <c r="Q117" s="353"/>
      <c r="R117" s="355"/>
    </row>
    <row r="118" spans="1:18" x14ac:dyDescent="0.25">
      <c r="A118" s="22"/>
      <c r="B118" s="24"/>
      <c r="C118" s="172"/>
      <c r="D118" s="173"/>
      <c r="E118" s="173"/>
      <c r="F118" s="173"/>
      <c r="G118" s="174"/>
      <c r="H118" s="174"/>
      <c r="I118" s="174"/>
      <c r="J118" s="174"/>
      <c r="K118" s="174"/>
      <c r="L118" s="405" t="s">
        <v>190</v>
      </c>
      <c r="M118" s="406"/>
      <c r="N118" s="280"/>
      <c r="O118" s="281"/>
      <c r="P118" s="292"/>
      <c r="Q118" s="352"/>
      <c r="R118" s="354"/>
    </row>
    <row r="119" spans="1:18" x14ac:dyDescent="0.25">
      <c r="A119" s="22"/>
      <c r="B119" s="24"/>
      <c r="C119" s="177"/>
      <c r="D119" s="178"/>
      <c r="E119" s="178"/>
      <c r="F119" s="178"/>
      <c r="G119" s="179">
        <v>10</v>
      </c>
      <c r="H119" s="179"/>
      <c r="I119" s="179"/>
      <c r="J119" s="179"/>
      <c r="K119" s="179"/>
      <c r="L119" s="409" t="s">
        <v>176</v>
      </c>
      <c r="M119" s="410"/>
      <c r="N119" s="286"/>
      <c r="O119" s="287"/>
      <c r="P119" s="288"/>
      <c r="Q119" s="356">
        <f>+O120</f>
        <v>6900</v>
      </c>
      <c r="R119" s="357"/>
    </row>
    <row r="120" spans="1:18" x14ac:dyDescent="0.25">
      <c r="A120" s="22"/>
      <c r="B120" s="24"/>
      <c r="C120" s="177"/>
      <c r="D120" s="178"/>
      <c r="E120" s="178"/>
      <c r="F120" s="178"/>
      <c r="G120" s="179"/>
      <c r="H120" s="179">
        <v>104</v>
      </c>
      <c r="I120" s="179"/>
      <c r="J120" s="179"/>
      <c r="K120" s="179"/>
      <c r="L120" s="409" t="s">
        <v>84</v>
      </c>
      <c r="M120" s="410"/>
      <c r="N120" s="286"/>
      <c r="O120" s="287">
        <f>+CAJA!G9</f>
        <v>6900</v>
      </c>
      <c r="P120" s="288"/>
      <c r="Q120" s="356"/>
      <c r="R120" s="357"/>
    </row>
    <row r="121" spans="1:18" x14ac:dyDescent="0.25">
      <c r="A121" s="22"/>
      <c r="B121" s="24"/>
      <c r="C121" s="177" t="s">
        <v>184</v>
      </c>
      <c r="D121" s="178"/>
      <c r="E121" s="178"/>
      <c r="F121" s="178"/>
      <c r="G121" s="179">
        <v>41</v>
      </c>
      <c r="H121" s="179"/>
      <c r="I121" s="179"/>
      <c r="J121" s="179"/>
      <c r="K121" s="179"/>
      <c r="L121" s="409" t="s">
        <v>319</v>
      </c>
      <c r="M121" s="410"/>
      <c r="N121" s="286"/>
      <c r="O121" s="287"/>
      <c r="P121" s="288"/>
      <c r="Q121" s="356">
        <f>+O122</f>
        <v>4033.6332000000002</v>
      </c>
      <c r="R121" s="357"/>
    </row>
    <row r="122" spans="1:18" x14ac:dyDescent="0.25">
      <c r="A122" s="22"/>
      <c r="B122" s="24"/>
      <c r="C122" s="177" t="s">
        <v>185</v>
      </c>
      <c r="D122" s="178"/>
      <c r="E122" s="178"/>
      <c r="F122" s="178"/>
      <c r="G122" s="179"/>
      <c r="H122" s="179">
        <v>411</v>
      </c>
      <c r="I122" s="179"/>
      <c r="J122" s="179"/>
      <c r="K122" s="179"/>
      <c r="L122" s="409" t="s">
        <v>320</v>
      </c>
      <c r="M122" s="410"/>
      <c r="N122" s="286"/>
      <c r="O122" s="287">
        <f>+CAJA!G13</f>
        <v>4033.6332000000002</v>
      </c>
      <c r="P122" s="288"/>
      <c r="Q122" s="356"/>
      <c r="R122" s="357"/>
    </row>
    <row r="123" spans="1:18" x14ac:dyDescent="0.25">
      <c r="A123" s="22"/>
      <c r="B123" s="24"/>
      <c r="C123" s="177"/>
      <c r="D123" s="178"/>
      <c r="E123" s="178"/>
      <c r="F123" s="178"/>
      <c r="G123" s="179">
        <v>42</v>
      </c>
      <c r="H123" s="179"/>
      <c r="I123" s="179"/>
      <c r="J123" s="179"/>
      <c r="K123" s="179"/>
      <c r="L123" s="409" t="s">
        <v>176</v>
      </c>
      <c r="M123" s="410"/>
      <c r="N123" s="286"/>
      <c r="O123" s="287"/>
      <c r="P123" s="288"/>
      <c r="Q123" s="356">
        <f>+O124</f>
        <v>250</v>
      </c>
      <c r="R123" s="357"/>
    </row>
    <row r="124" spans="1:18" x14ac:dyDescent="0.25">
      <c r="A124" s="22"/>
      <c r="B124" s="24"/>
      <c r="C124" s="177"/>
      <c r="D124" s="178"/>
      <c r="E124" s="178"/>
      <c r="F124" s="178"/>
      <c r="G124" s="179"/>
      <c r="H124" s="179">
        <v>421</v>
      </c>
      <c r="I124" s="179"/>
      <c r="J124" s="179"/>
      <c r="K124" s="179"/>
      <c r="L124" s="409" t="s">
        <v>156</v>
      </c>
      <c r="M124" s="410"/>
      <c r="N124" s="286"/>
      <c r="O124" s="287">
        <f>+CAJA!G11</f>
        <v>250</v>
      </c>
      <c r="P124" s="293"/>
      <c r="Q124" s="356"/>
      <c r="R124" s="358"/>
    </row>
    <row r="125" spans="1:18" x14ac:dyDescent="0.25">
      <c r="A125" s="22"/>
      <c r="B125" s="24"/>
      <c r="C125" s="177"/>
      <c r="D125" s="178"/>
      <c r="E125" s="178"/>
      <c r="F125" s="178"/>
      <c r="G125" s="179">
        <v>10</v>
      </c>
      <c r="H125" s="179"/>
      <c r="I125" s="179"/>
      <c r="J125" s="179"/>
      <c r="K125" s="179"/>
      <c r="L125" s="409" t="s">
        <v>176</v>
      </c>
      <c r="M125" s="410"/>
      <c r="N125" s="286"/>
      <c r="O125" s="287"/>
      <c r="P125" s="293"/>
      <c r="Q125" s="356"/>
      <c r="R125" s="358">
        <f>+P126</f>
        <v>11183.6332</v>
      </c>
    </row>
    <row r="126" spans="1:18" x14ac:dyDescent="0.25">
      <c r="A126" s="22"/>
      <c r="B126" s="24"/>
      <c r="C126" s="177"/>
      <c r="D126" s="178"/>
      <c r="E126" s="178"/>
      <c r="F126" s="178"/>
      <c r="G126" s="179"/>
      <c r="H126" s="179">
        <v>101</v>
      </c>
      <c r="I126" s="179"/>
      <c r="J126" s="179"/>
      <c r="K126" s="179"/>
      <c r="L126" s="409" t="s">
        <v>30</v>
      </c>
      <c r="M126" s="410"/>
      <c r="N126" s="286"/>
      <c r="O126" s="287"/>
      <c r="P126" s="293">
        <f>SUM(O120:O125)</f>
        <v>11183.6332</v>
      </c>
      <c r="Q126" s="356"/>
      <c r="R126" s="358"/>
    </row>
    <row r="127" spans="1:18" x14ac:dyDescent="0.25">
      <c r="A127" s="22"/>
      <c r="B127" s="24"/>
      <c r="C127" s="177"/>
      <c r="D127" s="178"/>
      <c r="E127" s="178"/>
      <c r="F127" s="178"/>
      <c r="G127" s="179"/>
      <c r="H127" s="179"/>
      <c r="I127" s="179"/>
      <c r="J127" s="179"/>
      <c r="K127" s="179"/>
      <c r="L127" s="409" t="s">
        <v>322</v>
      </c>
      <c r="M127" s="410"/>
      <c r="N127" s="286"/>
      <c r="O127" s="287"/>
      <c r="P127" s="293"/>
      <c r="Q127" s="356"/>
      <c r="R127" s="358"/>
    </row>
    <row r="128" spans="1:18" x14ac:dyDescent="0.25">
      <c r="A128" s="22"/>
      <c r="B128" s="24"/>
      <c r="C128" s="177"/>
      <c r="D128" s="178"/>
      <c r="E128" s="178"/>
      <c r="F128" s="178"/>
      <c r="G128" s="179"/>
      <c r="H128" s="179"/>
      <c r="I128" s="179"/>
      <c r="J128" s="179"/>
      <c r="K128" s="179"/>
      <c r="L128" s="405" t="s">
        <v>277</v>
      </c>
      <c r="M128" s="406"/>
      <c r="N128" s="286"/>
      <c r="O128" s="287"/>
      <c r="P128" s="293"/>
      <c r="Q128" s="356"/>
      <c r="R128" s="358"/>
    </row>
    <row r="129" spans="1:18" x14ac:dyDescent="0.25">
      <c r="A129" s="313"/>
      <c r="B129" s="161"/>
      <c r="C129" s="160"/>
      <c r="D129" s="161"/>
      <c r="E129" s="161"/>
      <c r="F129" s="161"/>
      <c r="G129" s="163">
        <v>10</v>
      </c>
      <c r="H129" s="163"/>
      <c r="I129" s="163"/>
      <c r="J129" s="163"/>
      <c r="K129" s="163"/>
      <c r="L129" s="411" t="s">
        <v>176</v>
      </c>
      <c r="M129" s="412"/>
      <c r="N129" s="262"/>
      <c r="O129" s="263"/>
      <c r="P129" s="314"/>
      <c r="Q129" s="337">
        <f>+P130</f>
        <v>77300</v>
      </c>
      <c r="R129" s="359"/>
    </row>
    <row r="130" spans="1:18" x14ac:dyDescent="0.25">
      <c r="A130" s="313"/>
      <c r="B130" s="161"/>
      <c r="C130" s="160"/>
      <c r="D130" s="161"/>
      <c r="E130" s="161"/>
      <c r="F130" s="161"/>
      <c r="G130" s="163"/>
      <c r="H130" s="163">
        <v>104</v>
      </c>
      <c r="I130" s="163"/>
      <c r="J130" s="163"/>
      <c r="K130" s="163"/>
      <c r="L130" s="411" t="s">
        <v>84</v>
      </c>
      <c r="M130" s="412"/>
      <c r="N130" s="262"/>
      <c r="O130" s="263"/>
      <c r="P130" s="314">
        <f>SUM(P132:P137)</f>
        <v>77300</v>
      </c>
      <c r="Q130" s="337"/>
      <c r="R130" s="359"/>
    </row>
    <row r="131" spans="1:18" x14ac:dyDescent="0.25">
      <c r="A131" s="313"/>
      <c r="B131" s="161"/>
      <c r="C131" s="160" t="s">
        <v>187</v>
      </c>
      <c r="D131" s="161"/>
      <c r="E131" s="161"/>
      <c r="F131" s="161"/>
      <c r="G131" s="163">
        <v>10</v>
      </c>
      <c r="H131" s="163"/>
      <c r="I131" s="163"/>
      <c r="J131" s="163"/>
      <c r="K131" s="163"/>
      <c r="L131" s="411" t="s">
        <v>176</v>
      </c>
      <c r="M131" s="412"/>
      <c r="N131" s="262"/>
      <c r="O131" s="263"/>
      <c r="P131" s="264"/>
      <c r="Q131" s="337"/>
      <c r="R131" s="338">
        <f>+P132</f>
        <v>18592.439999999999</v>
      </c>
    </row>
    <row r="132" spans="1:18" x14ac:dyDescent="0.25">
      <c r="A132" s="313"/>
      <c r="B132" s="161"/>
      <c r="C132" s="160"/>
      <c r="D132" s="161"/>
      <c r="E132" s="161"/>
      <c r="F132" s="161"/>
      <c r="G132" s="163"/>
      <c r="H132" s="163">
        <v>101</v>
      </c>
      <c r="I132" s="163"/>
      <c r="J132" s="163"/>
      <c r="K132" s="163"/>
      <c r="L132" s="411" t="s">
        <v>30</v>
      </c>
      <c r="M132" s="412"/>
      <c r="N132" s="262"/>
      <c r="O132" s="263"/>
      <c r="P132" s="264">
        <f>+BANCO!I14</f>
        <v>18592.439999999999</v>
      </c>
      <c r="Q132" s="337"/>
      <c r="R132" s="338"/>
    </row>
    <row r="133" spans="1:18" x14ac:dyDescent="0.25">
      <c r="A133" s="313"/>
      <c r="B133" s="161"/>
      <c r="C133" s="160"/>
      <c r="D133" s="161"/>
      <c r="E133" s="161"/>
      <c r="F133" s="161"/>
      <c r="G133" s="163">
        <v>12</v>
      </c>
      <c r="H133" s="163"/>
      <c r="I133" s="163"/>
      <c r="J133" s="163"/>
      <c r="K133" s="163"/>
      <c r="L133" s="411" t="s">
        <v>37</v>
      </c>
      <c r="M133" s="412"/>
      <c r="N133" s="262"/>
      <c r="O133" s="263"/>
      <c r="P133" s="264"/>
      <c r="Q133" s="337"/>
      <c r="R133" s="338">
        <f>SUM(P134:P135)</f>
        <v>57300</v>
      </c>
    </row>
    <row r="134" spans="1:18" x14ac:dyDescent="0.25">
      <c r="A134" s="313"/>
      <c r="B134" s="161"/>
      <c r="C134" s="160"/>
      <c r="D134" s="161"/>
      <c r="E134" s="161"/>
      <c r="F134" s="161"/>
      <c r="G134" s="163"/>
      <c r="H134" s="163">
        <v>121</v>
      </c>
      <c r="I134" s="163"/>
      <c r="J134" s="163"/>
      <c r="K134" s="163"/>
      <c r="L134" s="411" t="s">
        <v>156</v>
      </c>
      <c r="M134" s="412"/>
      <c r="N134" s="262"/>
      <c r="O134" s="263"/>
      <c r="P134" s="264">
        <f>+BANCO!I17+BANCO!I19</f>
        <v>47800</v>
      </c>
      <c r="Q134" s="337"/>
      <c r="R134" s="338"/>
    </row>
    <row r="135" spans="1:18" x14ac:dyDescent="0.25">
      <c r="A135" s="313"/>
      <c r="B135" s="161"/>
      <c r="C135" s="160"/>
      <c r="D135" s="161"/>
      <c r="E135" s="161"/>
      <c r="F135" s="161"/>
      <c r="G135" s="163"/>
      <c r="H135" s="163">
        <v>123</v>
      </c>
      <c r="I135" s="163"/>
      <c r="J135" s="163"/>
      <c r="K135" s="163"/>
      <c r="L135" s="411" t="s">
        <v>310</v>
      </c>
      <c r="M135" s="412"/>
      <c r="N135" s="262"/>
      <c r="O135" s="263"/>
      <c r="P135" s="314">
        <f>+BANCO!I18</f>
        <v>9500</v>
      </c>
      <c r="Q135" s="337"/>
      <c r="R135" s="359"/>
    </row>
    <row r="136" spans="1:18" x14ac:dyDescent="0.25">
      <c r="A136" s="313"/>
      <c r="B136" s="161"/>
      <c r="C136" s="160"/>
      <c r="D136" s="161"/>
      <c r="E136" s="161"/>
      <c r="F136" s="161"/>
      <c r="G136" s="163">
        <v>37</v>
      </c>
      <c r="H136" s="163"/>
      <c r="I136" s="163"/>
      <c r="J136" s="163"/>
      <c r="K136" s="163"/>
      <c r="L136" s="411" t="s">
        <v>314</v>
      </c>
      <c r="M136" s="412"/>
      <c r="N136" s="262"/>
      <c r="O136" s="263"/>
      <c r="P136" s="314"/>
      <c r="Q136" s="337"/>
      <c r="R136" s="359">
        <f>+P137</f>
        <v>1407.56</v>
      </c>
    </row>
    <row r="137" spans="1:18" x14ac:dyDescent="0.25">
      <c r="A137" s="313"/>
      <c r="B137" s="161"/>
      <c r="C137" s="160"/>
      <c r="D137" s="161"/>
      <c r="E137" s="161"/>
      <c r="F137" s="161"/>
      <c r="G137" s="163"/>
      <c r="H137" s="163">
        <v>373</v>
      </c>
      <c r="I137" s="163"/>
      <c r="J137" s="163"/>
      <c r="K137" s="163"/>
      <c r="L137" s="411" t="s">
        <v>327</v>
      </c>
      <c r="M137" s="412"/>
      <c r="N137" s="262"/>
      <c r="O137" s="263"/>
      <c r="P137" s="314">
        <f>+BANCO!I21</f>
        <v>1407.56</v>
      </c>
      <c r="Q137" s="337"/>
      <c r="R137" s="359"/>
    </row>
    <row r="138" spans="1:18" x14ac:dyDescent="0.25">
      <c r="A138" s="313"/>
      <c r="B138" s="161"/>
      <c r="C138" s="160"/>
      <c r="D138" s="161"/>
      <c r="E138" s="161"/>
      <c r="F138" s="161"/>
      <c r="G138" s="163"/>
      <c r="H138" s="163"/>
      <c r="I138" s="163"/>
      <c r="J138" s="163"/>
      <c r="K138" s="163"/>
      <c r="L138" s="411" t="s">
        <v>323</v>
      </c>
      <c r="M138" s="412"/>
      <c r="N138" s="262"/>
      <c r="O138" s="263"/>
      <c r="P138" s="314"/>
      <c r="Q138" s="337"/>
      <c r="R138" s="359"/>
    </row>
    <row r="139" spans="1:18" x14ac:dyDescent="0.25">
      <c r="A139" s="22"/>
      <c r="B139" s="24"/>
      <c r="C139" s="159"/>
      <c r="D139" s="180"/>
      <c r="E139" s="180"/>
      <c r="F139" s="180"/>
      <c r="G139" s="298"/>
      <c r="H139" s="298"/>
      <c r="I139" s="298"/>
      <c r="J139" s="298"/>
      <c r="K139" s="298"/>
      <c r="L139" s="405" t="s">
        <v>328</v>
      </c>
      <c r="M139" s="406"/>
      <c r="N139" s="286"/>
      <c r="O139" s="287"/>
      <c r="P139" s="288"/>
      <c r="Q139" s="356"/>
      <c r="R139" s="357"/>
    </row>
    <row r="140" spans="1:18" x14ac:dyDescent="0.25">
      <c r="A140" s="22"/>
      <c r="B140" s="24"/>
      <c r="C140" s="159"/>
      <c r="D140" s="180"/>
      <c r="E140" s="180"/>
      <c r="F140" s="180"/>
      <c r="G140" s="179">
        <v>10</v>
      </c>
      <c r="H140" s="179"/>
      <c r="I140" s="179"/>
      <c r="J140" s="179"/>
      <c r="K140" s="179"/>
      <c r="L140" s="409" t="s">
        <v>176</v>
      </c>
      <c r="M140" s="410"/>
      <c r="N140" s="286"/>
      <c r="O140" s="287"/>
      <c r="P140" s="293"/>
      <c r="Q140" s="356">
        <f>+P141</f>
        <v>4283.6332000000002</v>
      </c>
      <c r="R140" s="358"/>
    </row>
    <row r="141" spans="1:18" x14ac:dyDescent="0.25">
      <c r="A141" s="22"/>
      <c r="B141" s="24"/>
      <c r="C141" s="159"/>
      <c r="D141" s="180"/>
      <c r="E141" s="180"/>
      <c r="F141" s="180"/>
      <c r="G141" s="179"/>
      <c r="H141" s="179">
        <v>101</v>
      </c>
      <c r="I141" s="179"/>
      <c r="J141" s="179"/>
      <c r="K141" s="179"/>
      <c r="L141" s="409" t="s">
        <v>30</v>
      </c>
      <c r="M141" s="410"/>
      <c r="N141" s="286"/>
      <c r="O141" s="287"/>
      <c r="P141" s="293">
        <f>+BANCO!J15+BANCO!J16</f>
        <v>4283.6332000000002</v>
      </c>
      <c r="Q141" s="356"/>
      <c r="R141" s="358"/>
    </row>
    <row r="142" spans="1:18" x14ac:dyDescent="0.25">
      <c r="A142" s="22"/>
      <c r="B142" s="24"/>
      <c r="C142" s="159"/>
      <c r="D142" s="180"/>
      <c r="E142" s="180"/>
      <c r="F142" s="180"/>
      <c r="G142" s="298">
        <v>42</v>
      </c>
      <c r="H142" s="298"/>
      <c r="I142" s="298"/>
      <c r="J142" s="298"/>
      <c r="K142" s="298"/>
      <c r="L142" s="409" t="s">
        <v>177</v>
      </c>
      <c r="M142" s="410"/>
      <c r="N142" s="286"/>
      <c r="O142" s="287"/>
      <c r="P142" s="293"/>
      <c r="Q142" s="356">
        <f>SUM(P143:P144)</f>
        <v>11000</v>
      </c>
      <c r="R142" s="358"/>
    </row>
    <row r="143" spans="1:18" x14ac:dyDescent="0.25">
      <c r="A143" s="22"/>
      <c r="B143" s="24"/>
      <c r="C143" s="159"/>
      <c r="D143" s="180"/>
      <c r="E143" s="180"/>
      <c r="F143" s="180"/>
      <c r="G143" s="298"/>
      <c r="H143" s="298">
        <v>421</v>
      </c>
      <c r="I143" s="298"/>
      <c r="J143" s="298"/>
      <c r="K143" s="298"/>
      <c r="L143" s="409" t="s">
        <v>188</v>
      </c>
      <c r="M143" s="410"/>
      <c r="N143" s="286"/>
      <c r="O143" s="287"/>
      <c r="P143" s="293">
        <f>+BANCO!J22</f>
        <v>5000</v>
      </c>
      <c r="Q143" s="356"/>
      <c r="R143" s="358"/>
    </row>
    <row r="144" spans="1:18" x14ac:dyDescent="0.25">
      <c r="A144" s="22"/>
      <c r="B144" s="24"/>
      <c r="C144" s="159"/>
      <c r="D144" s="180"/>
      <c r="E144" s="180"/>
      <c r="F144" s="180"/>
      <c r="G144" s="298"/>
      <c r="H144" s="298">
        <v>423</v>
      </c>
      <c r="I144" s="298"/>
      <c r="J144" s="298"/>
      <c r="K144" s="298"/>
      <c r="L144" s="409" t="s">
        <v>189</v>
      </c>
      <c r="M144" s="410"/>
      <c r="N144" s="286"/>
      <c r="O144" s="287"/>
      <c r="P144" s="293">
        <f>+BANCO!J23</f>
        <v>6000</v>
      </c>
      <c r="Q144" s="356"/>
      <c r="R144" s="358"/>
    </row>
    <row r="145" spans="1:18" x14ac:dyDescent="0.25">
      <c r="A145" s="22"/>
      <c r="B145" s="24"/>
      <c r="C145" s="159"/>
      <c r="D145" s="180"/>
      <c r="E145" s="180"/>
      <c r="F145" s="180"/>
      <c r="G145" s="298">
        <v>45</v>
      </c>
      <c r="H145" s="298"/>
      <c r="I145" s="298"/>
      <c r="J145" s="298"/>
      <c r="K145" s="298"/>
      <c r="L145" s="409" t="s">
        <v>324</v>
      </c>
      <c r="M145" s="410"/>
      <c r="N145" s="286"/>
      <c r="O145" s="287"/>
      <c r="P145" s="293"/>
      <c r="Q145" s="356">
        <f>+P146</f>
        <v>20000</v>
      </c>
      <c r="R145" s="358"/>
    </row>
    <row r="146" spans="1:18" x14ac:dyDescent="0.25">
      <c r="A146" s="22"/>
      <c r="B146" s="24"/>
      <c r="C146" s="159"/>
      <c r="D146" s="180"/>
      <c r="E146" s="180"/>
      <c r="F146" s="180"/>
      <c r="G146" s="298"/>
      <c r="H146" s="298">
        <v>451</v>
      </c>
      <c r="I146" s="298"/>
      <c r="J146" s="298"/>
      <c r="K146" s="298"/>
      <c r="L146" s="409" t="s">
        <v>191</v>
      </c>
      <c r="M146" s="410"/>
      <c r="N146" s="286"/>
      <c r="O146" s="287"/>
      <c r="P146" s="293">
        <f>+BANCO!J20</f>
        <v>20000</v>
      </c>
      <c r="Q146" s="356"/>
      <c r="R146" s="358"/>
    </row>
    <row r="147" spans="1:18" x14ac:dyDescent="0.25">
      <c r="A147" s="22"/>
      <c r="B147" s="24"/>
      <c r="C147" s="159"/>
      <c r="D147" s="180"/>
      <c r="E147" s="180"/>
      <c r="F147" s="180"/>
      <c r="G147" s="298">
        <v>67</v>
      </c>
      <c r="H147" s="298"/>
      <c r="I147" s="298"/>
      <c r="J147" s="298"/>
      <c r="K147" s="298"/>
      <c r="L147" s="409" t="s">
        <v>91</v>
      </c>
      <c r="M147" s="410"/>
      <c r="N147" s="286"/>
      <c r="O147" s="287"/>
      <c r="P147" s="293"/>
      <c r="Q147" s="356">
        <f>+P148</f>
        <v>50</v>
      </c>
      <c r="R147" s="358"/>
    </row>
    <row r="148" spans="1:18" x14ac:dyDescent="0.25">
      <c r="A148" s="22"/>
      <c r="B148" s="24"/>
      <c r="C148" s="159"/>
      <c r="D148" s="180"/>
      <c r="E148" s="180"/>
      <c r="F148" s="180"/>
      <c r="G148" s="298"/>
      <c r="H148" s="298">
        <v>679</v>
      </c>
      <c r="I148" s="298"/>
      <c r="J148" s="298"/>
      <c r="K148" s="298"/>
      <c r="L148" s="409" t="s">
        <v>318</v>
      </c>
      <c r="M148" s="410"/>
      <c r="N148" s="286"/>
      <c r="O148" s="287"/>
      <c r="P148" s="293">
        <f>+BANCO!J24</f>
        <v>50</v>
      </c>
      <c r="Q148" s="356"/>
      <c r="R148" s="358"/>
    </row>
    <row r="149" spans="1:18" x14ac:dyDescent="0.25">
      <c r="A149" s="22"/>
      <c r="B149" s="24"/>
      <c r="C149" s="159"/>
      <c r="D149" s="180"/>
      <c r="E149" s="180"/>
      <c r="F149" s="180"/>
      <c r="G149" s="179">
        <v>10</v>
      </c>
      <c r="H149" s="179"/>
      <c r="I149" s="179"/>
      <c r="J149" s="179"/>
      <c r="K149" s="179"/>
      <c r="L149" s="409" t="s">
        <v>176</v>
      </c>
      <c r="M149" s="410"/>
      <c r="N149" s="286"/>
      <c r="O149" s="287"/>
      <c r="P149" s="293"/>
      <c r="Q149" s="356"/>
      <c r="R149" s="358">
        <f>+P150</f>
        <v>35333.633199999997</v>
      </c>
    </row>
    <row r="150" spans="1:18" x14ac:dyDescent="0.25">
      <c r="A150" s="22"/>
      <c r="B150" s="24"/>
      <c r="C150" s="159"/>
      <c r="D150" s="180"/>
      <c r="E150" s="180"/>
      <c r="F150" s="180"/>
      <c r="G150" s="179"/>
      <c r="H150" s="179">
        <v>104</v>
      </c>
      <c r="I150" s="179"/>
      <c r="J150" s="179"/>
      <c r="K150" s="179"/>
      <c r="L150" s="409" t="s">
        <v>84</v>
      </c>
      <c r="M150" s="410"/>
      <c r="N150" s="286"/>
      <c r="O150" s="287"/>
      <c r="P150" s="293">
        <f>SUM(P141:P148)</f>
        <v>35333.633199999997</v>
      </c>
      <c r="Q150" s="356"/>
      <c r="R150" s="358"/>
    </row>
    <row r="151" spans="1:18" x14ac:dyDescent="0.25">
      <c r="A151" s="22"/>
      <c r="B151" s="24"/>
      <c r="C151" s="159"/>
      <c r="D151" s="180"/>
      <c r="E151" s="180"/>
      <c r="F151" s="180"/>
      <c r="G151" s="179"/>
      <c r="H151" s="179"/>
      <c r="I151" s="179"/>
      <c r="J151" s="179"/>
      <c r="K151" s="179"/>
      <c r="L151" s="409" t="s">
        <v>325</v>
      </c>
      <c r="M151" s="410"/>
      <c r="N151" s="286"/>
      <c r="O151" s="287"/>
      <c r="P151" s="293"/>
      <c r="Q151" s="356"/>
      <c r="R151" s="358"/>
    </row>
    <row r="152" spans="1:18" x14ac:dyDescent="0.25">
      <c r="A152" s="22"/>
      <c r="B152" s="24"/>
      <c r="C152" s="159"/>
      <c r="D152" s="180"/>
      <c r="E152" s="180"/>
      <c r="F152" s="180"/>
      <c r="G152" s="179"/>
      <c r="H152" s="179"/>
      <c r="I152" s="179"/>
      <c r="J152" s="179"/>
      <c r="K152" s="179"/>
      <c r="L152" s="405" t="s">
        <v>332</v>
      </c>
      <c r="M152" s="406"/>
      <c r="N152" s="286"/>
      <c r="O152" s="287"/>
      <c r="P152" s="293"/>
      <c r="Q152" s="356"/>
      <c r="R152" s="358"/>
    </row>
    <row r="153" spans="1:18" x14ac:dyDescent="0.25">
      <c r="A153" s="22"/>
      <c r="B153" s="226"/>
      <c r="C153" s="23"/>
      <c r="D153" s="226"/>
      <c r="E153" s="226"/>
      <c r="F153" s="226"/>
      <c r="G153" s="227">
        <v>61</v>
      </c>
      <c r="H153" s="227"/>
      <c r="I153" s="227"/>
      <c r="J153" s="227"/>
      <c r="K153" s="227"/>
      <c r="L153" s="403" t="s">
        <v>117</v>
      </c>
      <c r="M153" s="404"/>
      <c r="N153" s="289"/>
      <c r="O153" s="290"/>
      <c r="P153" s="291"/>
      <c r="Q153" s="360">
        <f>+P154+P156+P161</f>
        <v>6953.6</v>
      </c>
      <c r="R153" s="361"/>
    </row>
    <row r="154" spans="1:18" x14ac:dyDescent="0.25">
      <c r="A154" s="22"/>
      <c r="B154" s="226"/>
      <c r="C154" s="23"/>
      <c r="D154" s="226"/>
      <c r="E154" s="226"/>
      <c r="F154" s="226"/>
      <c r="G154" s="227"/>
      <c r="H154" s="227">
        <v>612</v>
      </c>
      <c r="I154" s="227"/>
      <c r="J154" s="227"/>
      <c r="K154" s="227"/>
      <c r="L154" s="403" t="s">
        <v>34</v>
      </c>
      <c r="M154" s="404"/>
      <c r="N154" s="289"/>
      <c r="O154" s="290"/>
      <c r="P154" s="291">
        <f>+O155</f>
        <v>1200</v>
      </c>
      <c r="Q154" s="360"/>
      <c r="R154" s="361"/>
    </row>
    <row r="155" spans="1:18" x14ac:dyDescent="0.25">
      <c r="A155" s="22"/>
      <c r="B155" s="226"/>
      <c r="C155" s="23"/>
      <c r="D155" s="226"/>
      <c r="E155" s="226"/>
      <c r="F155" s="226"/>
      <c r="G155" s="227"/>
      <c r="H155" s="227"/>
      <c r="I155" s="227">
        <v>6123</v>
      </c>
      <c r="J155" s="227"/>
      <c r="K155" s="227"/>
      <c r="L155" s="403" t="s">
        <v>278</v>
      </c>
      <c r="M155" s="404"/>
      <c r="N155" s="289"/>
      <c r="O155" s="290">
        <f>+Q17</f>
        <v>1200</v>
      </c>
      <c r="P155" s="291"/>
      <c r="Q155" s="360"/>
      <c r="R155" s="361"/>
    </row>
    <row r="156" spans="1:18" x14ac:dyDescent="0.25">
      <c r="A156" s="22"/>
      <c r="B156" s="226"/>
      <c r="C156" s="23"/>
      <c r="D156" s="226"/>
      <c r="E156" s="226"/>
      <c r="F156" s="226"/>
      <c r="G156" s="227"/>
      <c r="H156" s="227">
        <v>613</v>
      </c>
      <c r="I156" s="227"/>
      <c r="J156" s="227"/>
      <c r="K156" s="227"/>
      <c r="L156" s="403"/>
      <c r="M156" s="404"/>
      <c r="N156" s="289"/>
      <c r="O156" s="290"/>
      <c r="P156" s="291">
        <f>+O157</f>
        <v>5503.6</v>
      </c>
      <c r="Q156" s="360"/>
      <c r="R156" s="361"/>
    </row>
    <row r="157" spans="1:18" x14ac:dyDescent="0.25">
      <c r="A157" s="22"/>
      <c r="B157" s="226"/>
      <c r="C157" s="23"/>
      <c r="D157" s="226"/>
      <c r="E157" s="226"/>
      <c r="F157" s="226"/>
      <c r="G157" s="227"/>
      <c r="H157" s="227"/>
      <c r="I157" s="227">
        <v>6132</v>
      </c>
      <c r="J157" s="227"/>
      <c r="K157" s="227"/>
      <c r="L157" s="403" t="s">
        <v>40</v>
      </c>
      <c r="M157" s="404"/>
      <c r="N157" s="289"/>
      <c r="O157" s="290">
        <f>+N158+N159+N160</f>
        <v>5503.6</v>
      </c>
      <c r="P157" s="291"/>
      <c r="Q157" s="360"/>
      <c r="R157" s="361"/>
    </row>
    <row r="158" spans="1:18" x14ac:dyDescent="0.25">
      <c r="A158" s="22"/>
      <c r="B158" s="226"/>
      <c r="C158" s="23"/>
      <c r="D158" s="226"/>
      <c r="E158" s="226"/>
      <c r="F158" s="226"/>
      <c r="G158" s="227"/>
      <c r="H158" s="227"/>
      <c r="I158" s="227"/>
      <c r="J158" s="227"/>
      <c r="K158" s="227"/>
      <c r="L158" s="403" t="s">
        <v>42</v>
      </c>
      <c r="M158" s="404"/>
      <c r="N158" s="289">
        <f>+O22</f>
        <v>3663.6</v>
      </c>
      <c r="O158" s="290"/>
      <c r="P158" s="291"/>
      <c r="Q158" s="360"/>
      <c r="R158" s="361"/>
    </row>
    <row r="159" spans="1:18" x14ac:dyDescent="0.25">
      <c r="A159" s="22"/>
      <c r="B159" s="226"/>
      <c r="C159" s="23"/>
      <c r="D159" s="226"/>
      <c r="E159" s="226"/>
      <c r="F159" s="226"/>
      <c r="G159" s="227"/>
      <c r="H159" s="227"/>
      <c r="I159" s="227"/>
      <c r="J159" s="227"/>
      <c r="K159" s="227"/>
      <c r="L159" s="403" t="s">
        <v>47</v>
      </c>
      <c r="M159" s="404"/>
      <c r="N159" s="289">
        <f>+O27</f>
        <v>1130</v>
      </c>
      <c r="O159" s="290"/>
      <c r="P159" s="291"/>
      <c r="Q159" s="360"/>
      <c r="R159" s="361"/>
    </row>
    <row r="160" spans="1:18" x14ac:dyDescent="0.25">
      <c r="A160" s="22"/>
      <c r="B160" s="226"/>
      <c r="C160" s="23"/>
      <c r="D160" s="226"/>
      <c r="E160" s="226"/>
      <c r="F160" s="226"/>
      <c r="G160" s="227"/>
      <c r="H160" s="227"/>
      <c r="I160" s="227"/>
      <c r="J160" s="227"/>
      <c r="K160" s="227"/>
      <c r="L160" s="403" t="s">
        <v>55</v>
      </c>
      <c r="M160" s="404"/>
      <c r="N160" s="289">
        <f>+O35</f>
        <v>710</v>
      </c>
      <c r="O160" s="290"/>
      <c r="P160" s="291"/>
      <c r="Q160" s="360"/>
      <c r="R160" s="361"/>
    </row>
    <row r="161" spans="1:18" x14ac:dyDescent="0.25">
      <c r="A161" s="22"/>
      <c r="B161" s="226"/>
      <c r="C161" s="23"/>
      <c r="D161" s="226"/>
      <c r="E161" s="226"/>
      <c r="F161" s="226"/>
      <c r="G161" s="227"/>
      <c r="H161" s="227">
        <v>614</v>
      </c>
      <c r="I161" s="227"/>
      <c r="J161" s="227"/>
      <c r="K161" s="227"/>
      <c r="L161" s="403"/>
      <c r="M161" s="404"/>
      <c r="N161" s="289"/>
      <c r="O161" s="290"/>
      <c r="P161" s="291">
        <f>+O162</f>
        <v>250</v>
      </c>
      <c r="Q161" s="360"/>
      <c r="R161" s="361"/>
    </row>
    <row r="162" spans="1:18" x14ac:dyDescent="0.25">
      <c r="A162" s="22"/>
      <c r="B162" s="226"/>
      <c r="C162" s="23"/>
      <c r="D162" s="226"/>
      <c r="E162" s="226"/>
      <c r="F162" s="226"/>
      <c r="G162" s="227"/>
      <c r="H162" s="227"/>
      <c r="I162" s="227">
        <v>6141</v>
      </c>
      <c r="J162" s="227"/>
      <c r="K162" s="227"/>
      <c r="L162" s="403" t="s">
        <v>279</v>
      </c>
      <c r="M162" s="404"/>
      <c r="N162" s="289"/>
      <c r="O162" s="290">
        <f>+P58</f>
        <v>250</v>
      </c>
      <c r="P162" s="291"/>
      <c r="Q162" s="360"/>
      <c r="R162" s="361"/>
    </row>
    <row r="163" spans="1:18" x14ac:dyDescent="0.25">
      <c r="A163" s="22"/>
      <c r="B163" s="226"/>
      <c r="C163" s="23"/>
      <c r="D163" s="226"/>
      <c r="E163" s="226"/>
      <c r="F163" s="226"/>
      <c r="G163" s="227">
        <v>24</v>
      </c>
      <c r="H163" s="227"/>
      <c r="I163" s="227"/>
      <c r="J163" s="227"/>
      <c r="K163" s="227"/>
      <c r="L163" s="403" t="s">
        <v>337</v>
      </c>
      <c r="M163" s="404"/>
      <c r="N163" s="289"/>
      <c r="O163" s="290"/>
      <c r="P163" s="291"/>
      <c r="Q163" s="360"/>
      <c r="R163" s="361">
        <f>+P164</f>
        <v>1200</v>
      </c>
    </row>
    <row r="164" spans="1:18" x14ac:dyDescent="0.25">
      <c r="A164" s="22"/>
      <c r="B164" s="226"/>
      <c r="C164" s="23"/>
      <c r="D164" s="226"/>
      <c r="E164" s="226"/>
      <c r="F164" s="226"/>
      <c r="G164" s="227"/>
      <c r="H164" s="227">
        <v>243</v>
      </c>
      <c r="I164" s="227"/>
      <c r="J164" s="227"/>
      <c r="K164" s="227"/>
      <c r="L164" s="403" t="s">
        <v>338</v>
      </c>
      <c r="M164" s="404"/>
      <c r="N164" s="289"/>
      <c r="O164" s="290"/>
      <c r="P164" s="291">
        <f>+P18</f>
        <v>1200</v>
      </c>
      <c r="Q164" s="360"/>
      <c r="R164" s="361"/>
    </row>
    <row r="165" spans="1:18" x14ac:dyDescent="0.25">
      <c r="A165" s="22"/>
      <c r="B165" s="226"/>
      <c r="C165" s="23"/>
      <c r="D165" s="226"/>
      <c r="E165" s="226"/>
      <c r="F165" s="226"/>
      <c r="G165" s="227">
        <v>25</v>
      </c>
      <c r="H165" s="227"/>
      <c r="I165" s="227"/>
      <c r="J165" s="227"/>
      <c r="K165" s="227"/>
      <c r="L165" s="403" t="s">
        <v>335</v>
      </c>
      <c r="M165" s="404"/>
      <c r="N165" s="289"/>
      <c r="O165" s="290"/>
      <c r="P165" s="291"/>
      <c r="Q165" s="360"/>
      <c r="R165" s="361">
        <f>+P166</f>
        <v>5503.6</v>
      </c>
    </row>
    <row r="166" spans="1:18" x14ac:dyDescent="0.25">
      <c r="A166" s="22"/>
      <c r="B166" s="226"/>
      <c r="C166" s="23"/>
      <c r="D166" s="226"/>
      <c r="E166" s="226"/>
      <c r="F166" s="226"/>
      <c r="G166" s="227"/>
      <c r="H166" s="227">
        <v>252</v>
      </c>
      <c r="I166" s="227"/>
      <c r="J166" s="227"/>
      <c r="K166" s="227"/>
      <c r="L166" s="403" t="s">
        <v>40</v>
      </c>
      <c r="M166" s="404"/>
      <c r="N166" s="289"/>
      <c r="O166" s="290"/>
      <c r="P166" s="291">
        <f>+O167</f>
        <v>5503.6</v>
      </c>
      <c r="Q166" s="360"/>
      <c r="R166" s="361"/>
    </row>
    <row r="167" spans="1:18" x14ac:dyDescent="0.25">
      <c r="A167" s="22"/>
      <c r="B167" s="24"/>
      <c r="C167" s="23"/>
      <c r="D167" s="24"/>
      <c r="E167" s="24"/>
      <c r="F167" s="24"/>
      <c r="G167" s="33"/>
      <c r="H167" s="33"/>
      <c r="I167" s="33">
        <v>2524</v>
      </c>
      <c r="J167" s="33"/>
      <c r="K167" s="33"/>
      <c r="L167" s="403" t="s">
        <v>41</v>
      </c>
      <c r="M167" s="404"/>
      <c r="N167" s="294"/>
      <c r="O167" s="295">
        <f>SUM(N168:N170)</f>
        <v>5503.6</v>
      </c>
      <c r="P167" s="296"/>
      <c r="Q167" s="360"/>
      <c r="R167" s="361"/>
    </row>
    <row r="168" spans="1:18" x14ac:dyDescent="0.25">
      <c r="A168" s="22"/>
      <c r="B168" s="24"/>
      <c r="C168" s="23"/>
      <c r="D168" s="24"/>
      <c r="E168" s="24"/>
      <c r="F168" s="24"/>
      <c r="G168" s="33"/>
      <c r="H168" s="33"/>
      <c r="I168" s="33"/>
      <c r="J168" s="33">
        <v>25241</v>
      </c>
      <c r="K168" s="33"/>
      <c r="L168" s="403" t="s">
        <v>42</v>
      </c>
      <c r="M168" s="404"/>
      <c r="N168" s="294">
        <v>3663.6</v>
      </c>
      <c r="O168" s="295"/>
      <c r="P168" s="296"/>
      <c r="Q168" s="360"/>
      <c r="R168" s="361"/>
    </row>
    <row r="169" spans="1:18" x14ac:dyDescent="0.25">
      <c r="A169" s="22"/>
      <c r="B169" s="24"/>
      <c r="C169" s="23"/>
      <c r="D169" s="24"/>
      <c r="E169" s="24"/>
      <c r="F169" s="24"/>
      <c r="G169" s="33"/>
      <c r="H169" s="33"/>
      <c r="I169" s="33"/>
      <c r="J169" s="33">
        <v>25242</v>
      </c>
      <c r="K169" s="33"/>
      <c r="L169" s="403" t="s">
        <v>47</v>
      </c>
      <c r="M169" s="404"/>
      <c r="N169" s="294">
        <v>1130</v>
      </c>
      <c r="O169" s="295"/>
      <c r="P169" s="296"/>
      <c r="Q169" s="360"/>
      <c r="R169" s="361"/>
    </row>
    <row r="170" spans="1:18" x14ac:dyDescent="0.25">
      <c r="A170" s="22"/>
      <c r="B170" s="24"/>
      <c r="C170" s="23"/>
      <c r="D170" s="24"/>
      <c r="E170" s="24"/>
      <c r="F170" s="24"/>
      <c r="G170" s="33"/>
      <c r="H170" s="33"/>
      <c r="I170" s="33"/>
      <c r="J170" s="33">
        <v>25243</v>
      </c>
      <c r="K170" s="33"/>
      <c r="L170" s="403" t="s">
        <v>55</v>
      </c>
      <c r="M170" s="404"/>
      <c r="N170" s="294">
        <v>710</v>
      </c>
      <c r="O170" s="295"/>
      <c r="P170" s="296"/>
      <c r="Q170" s="360"/>
      <c r="R170" s="361"/>
    </row>
    <row r="171" spans="1:18" x14ac:dyDescent="0.25">
      <c r="A171" s="22"/>
      <c r="B171" s="226"/>
      <c r="C171" s="23"/>
      <c r="D171" s="226"/>
      <c r="E171" s="226"/>
      <c r="F171" s="226"/>
      <c r="G171" s="227">
        <v>26</v>
      </c>
      <c r="H171" s="227"/>
      <c r="I171" s="227"/>
      <c r="J171" s="227"/>
      <c r="K171" s="227"/>
      <c r="L171" s="403" t="s">
        <v>116</v>
      </c>
      <c r="M171" s="404"/>
      <c r="N171" s="289"/>
      <c r="O171" s="290"/>
      <c r="P171" s="291"/>
      <c r="Q171" s="360"/>
      <c r="R171" s="361">
        <f>+P172</f>
        <v>250</v>
      </c>
    </row>
    <row r="172" spans="1:18" x14ac:dyDescent="0.25">
      <c r="A172" s="22"/>
      <c r="B172" s="226"/>
      <c r="C172" s="23"/>
      <c r="D172" s="226"/>
      <c r="E172" s="226"/>
      <c r="F172" s="226"/>
      <c r="G172" s="227"/>
      <c r="H172" s="227">
        <v>262</v>
      </c>
      <c r="I172" s="227"/>
      <c r="J172" s="227"/>
      <c r="K172" s="227"/>
      <c r="L172" s="403" t="s">
        <v>339</v>
      </c>
      <c r="M172" s="404"/>
      <c r="N172" s="289"/>
      <c r="O172" s="290"/>
      <c r="P172" s="291">
        <f>+P63</f>
        <v>250</v>
      </c>
      <c r="Q172" s="360"/>
      <c r="R172" s="361"/>
    </row>
    <row r="173" spans="1:18" x14ac:dyDescent="0.25">
      <c r="A173" s="22"/>
      <c r="B173" s="24"/>
      <c r="C173" s="23"/>
      <c r="D173" s="24"/>
      <c r="E173" s="24"/>
      <c r="F173" s="24"/>
      <c r="G173" s="33"/>
      <c r="H173" s="33"/>
      <c r="I173" s="33"/>
      <c r="J173" s="33"/>
      <c r="K173" s="33"/>
      <c r="L173" s="407" t="s">
        <v>336</v>
      </c>
      <c r="M173" s="408"/>
      <c r="N173" s="294"/>
      <c r="O173" s="295"/>
      <c r="P173" s="296"/>
      <c r="Q173" s="360"/>
      <c r="R173" s="361"/>
    </row>
    <row r="174" spans="1:18" x14ac:dyDescent="0.25">
      <c r="A174" s="22"/>
      <c r="B174" s="226"/>
      <c r="C174" s="23"/>
      <c r="D174" s="226"/>
      <c r="E174" s="226"/>
      <c r="F174" s="226"/>
      <c r="G174" s="227"/>
      <c r="H174" s="227"/>
      <c r="I174" s="227"/>
      <c r="J174" s="227"/>
      <c r="K174" s="227"/>
      <c r="L174" s="405" t="s">
        <v>334</v>
      </c>
      <c r="M174" s="406"/>
      <c r="N174" s="289"/>
      <c r="O174" s="290"/>
      <c r="P174" s="291"/>
      <c r="Q174" s="360"/>
      <c r="R174" s="361"/>
    </row>
    <row r="175" spans="1:18" x14ac:dyDescent="0.25">
      <c r="A175" s="22"/>
      <c r="B175" s="226"/>
      <c r="C175" s="23"/>
      <c r="D175" s="226"/>
      <c r="E175" s="226"/>
      <c r="F175" s="226"/>
      <c r="G175" s="227">
        <v>68</v>
      </c>
      <c r="H175" s="227"/>
      <c r="I175" s="227"/>
      <c r="J175" s="227"/>
      <c r="K175" s="227"/>
      <c r="L175" s="403" t="s">
        <v>280</v>
      </c>
      <c r="M175" s="404"/>
      <c r="N175" s="289"/>
      <c r="O175" s="290"/>
      <c r="P175" s="291"/>
      <c r="Q175" s="360">
        <f>+P176</f>
        <v>4216.6666666666661</v>
      </c>
      <c r="R175" s="361"/>
    </row>
    <row r="176" spans="1:18" x14ac:dyDescent="0.25">
      <c r="A176" s="22"/>
      <c r="B176" s="226"/>
      <c r="C176" s="23"/>
      <c r="D176" s="226"/>
      <c r="E176" s="226"/>
      <c r="F176" s="226"/>
      <c r="G176" s="227"/>
      <c r="H176" s="227">
        <v>681</v>
      </c>
      <c r="I176" s="227"/>
      <c r="J176" s="227"/>
      <c r="K176" s="227"/>
      <c r="L176" s="403" t="s">
        <v>281</v>
      </c>
      <c r="M176" s="404"/>
      <c r="N176" s="289"/>
      <c r="O176" s="290"/>
      <c r="P176" s="291">
        <f>+P177</f>
        <v>4216.6666666666661</v>
      </c>
      <c r="Q176" s="360"/>
      <c r="R176" s="361"/>
    </row>
    <row r="177" spans="1:18" x14ac:dyDescent="0.25">
      <c r="A177" s="22"/>
      <c r="B177" s="226"/>
      <c r="C177" s="23"/>
      <c r="D177" s="226"/>
      <c r="E177" s="226"/>
      <c r="F177" s="226"/>
      <c r="G177" s="227"/>
      <c r="H177" s="227"/>
      <c r="I177" s="227">
        <v>6814</v>
      </c>
      <c r="J177" s="227"/>
      <c r="K177" s="227"/>
      <c r="L177" s="403" t="s">
        <v>282</v>
      </c>
      <c r="M177" s="404"/>
      <c r="N177" s="289"/>
      <c r="O177" s="290"/>
      <c r="P177" s="291">
        <f>+O178+O181</f>
        <v>4216.6666666666661</v>
      </c>
      <c r="Q177" s="360"/>
      <c r="R177" s="361"/>
    </row>
    <row r="178" spans="1:18" x14ac:dyDescent="0.25">
      <c r="A178" s="22"/>
      <c r="B178" s="226"/>
      <c r="C178" s="23"/>
      <c r="D178" s="226"/>
      <c r="E178" s="226"/>
      <c r="F178" s="226"/>
      <c r="G178" s="227"/>
      <c r="H178" s="227"/>
      <c r="I178" s="227"/>
      <c r="J178" s="227">
        <v>68141</v>
      </c>
      <c r="K178" s="227"/>
      <c r="L178" s="403" t="s">
        <v>61</v>
      </c>
      <c r="M178" s="404"/>
      <c r="N178" s="289"/>
      <c r="O178" s="290">
        <f>+N179+N180</f>
        <v>4166.6666666666661</v>
      </c>
      <c r="P178" s="291"/>
      <c r="Q178" s="360"/>
      <c r="R178" s="361"/>
    </row>
    <row r="179" spans="1:18" x14ac:dyDescent="0.25">
      <c r="A179" s="22"/>
      <c r="B179" s="226"/>
      <c r="C179" s="23"/>
      <c r="D179" s="226"/>
      <c r="E179" s="226"/>
      <c r="F179" s="226"/>
      <c r="G179" s="227"/>
      <c r="H179" s="227"/>
      <c r="I179" s="227"/>
      <c r="J179" s="227"/>
      <c r="K179" s="227">
        <v>681411</v>
      </c>
      <c r="L179" s="403" t="s">
        <v>62</v>
      </c>
      <c r="M179" s="404"/>
      <c r="N179" s="229">
        <f>+'operaciones adicionales I'!G32</f>
        <v>3333.333333333333</v>
      </c>
      <c r="O179" s="230"/>
      <c r="P179" s="231"/>
      <c r="Q179" s="360"/>
      <c r="R179" s="361"/>
    </row>
    <row r="180" spans="1:18" x14ac:dyDescent="0.25">
      <c r="A180" s="22"/>
      <c r="B180" s="226"/>
      <c r="C180" s="23"/>
      <c r="D180" s="226"/>
      <c r="E180" s="226"/>
      <c r="F180" s="226"/>
      <c r="G180" s="227"/>
      <c r="H180" s="227"/>
      <c r="I180" s="227"/>
      <c r="J180" s="227"/>
      <c r="K180" s="227">
        <v>681412</v>
      </c>
      <c r="L180" s="403" t="s">
        <v>63</v>
      </c>
      <c r="M180" s="404"/>
      <c r="N180" s="229">
        <f>+'operaciones adicionales I'!G33</f>
        <v>833.33333333333326</v>
      </c>
      <c r="O180" s="230"/>
      <c r="P180" s="231"/>
      <c r="Q180" s="360"/>
      <c r="R180" s="361"/>
    </row>
    <row r="181" spans="1:18" x14ac:dyDescent="0.25">
      <c r="A181" s="22"/>
      <c r="B181" s="226"/>
      <c r="C181" s="23"/>
      <c r="D181" s="226"/>
      <c r="E181" s="226"/>
      <c r="F181" s="226"/>
      <c r="G181" s="227"/>
      <c r="H181" s="227"/>
      <c r="I181" s="227"/>
      <c r="J181" s="227">
        <v>68146</v>
      </c>
      <c r="K181" s="227"/>
      <c r="L181" s="403" t="s">
        <v>287</v>
      </c>
      <c r="M181" s="404"/>
      <c r="N181" s="229"/>
      <c r="O181" s="230">
        <f>+'operaciones adicionales I'!G34</f>
        <v>50</v>
      </c>
      <c r="P181" s="231"/>
      <c r="Q181" s="360"/>
      <c r="R181" s="361"/>
    </row>
    <row r="182" spans="1:18" x14ac:dyDescent="0.25">
      <c r="A182" s="22"/>
      <c r="B182" s="226"/>
      <c r="C182" s="23"/>
      <c r="D182" s="226"/>
      <c r="E182" s="226"/>
      <c r="F182" s="226"/>
      <c r="G182" s="227">
        <v>62</v>
      </c>
      <c r="H182" s="227"/>
      <c r="I182" s="227"/>
      <c r="J182" s="227"/>
      <c r="K182" s="227"/>
      <c r="L182" s="403" t="s">
        <v>283</v>
      </c>
      <c r="M182" s="404"/>
      <c r="N182" s="229"/>
      <c r="O182" s="230"/>
      <c r="P182" s="231"/>
      <c r="Q182" s="360">
        <f>+P183</f>
        <v>386.36</v>
      </c>
      <c r="R182" s="361"/>
    </row>
    <row r="183" spans="1:18" x14ac:dyDescent="0.25">
      <c r="A183" s="22"/>
      <c r="B183" s="226"/>
      <c r="C183" s="23"/>
      <c r="D183" s="226"/>
      <c r="E183" s="226"/>
      <c r="F183" s="226"/>
      <c r="G183" s="227"/>
      <c r="H183" s="227">
        <v>629</v>
      </c>
      <c r="I183" s="227"/>
      <c r="J183" s="227"/>
      <c r="K183" s="227"/>
      <c r="L183" s="403" t="s">
        <v>284</v>
      </c>
      <c r="M183" s="404"/>
      <c r="N183" s="229"/>
      <c r="O183" s="230"/>
      <c r="P183" s="231">
        <f>+O184</f>
        <v>386.36</v>
      </c>
      <c r="Q183" s="360"/>
      <c r="R183" s="361"/>
    </row>
    <row r="184" spans="1:18" x14ac:dyDescent="0.25">
      <c r="A184" s="22"/>
      <c r="B184" s="226"/>
      <c r="C184" s="23"/>
      <c r="D184" s="226"/>
      <c r="E184" s="226"/>
      <c r="F184" s="226"/>
      <c r="G184" s="227"/>
      <c r="H184" s="227"/>
      <c r="I184" s="227">
        <v>6291</v>
      </c>
      <c r="J184" s="227"/>
      <c r="K184" s="227"/>
      <c r="L184" s="403" t="s">
        <v>263</v>
      </c>
      <c r="M184" s="404"/>
      <c r="N184" s="229"/>
      <c r="O184" s="230">
        <v>386.36</v>
      </c>
      <c r="P184" s="231"/>
      <c r="Q184" s="360"/>
      <c r="R184" s="361"/>
    </row>
    <row r="185" spans="1:18" x14ac:dyDescent="0.25">
      <c r="A185" s="22"/>
      <c r="B185" s="226"/>
      <c r="C185" s="23"/>
      <c r="D185" s="226"/>
      <c r="E185" s="226"/>
      <c r="F185" s="226"/>
      <c r="G185" s="227">
        <v>39</v>
      </c>
      <c r="H185" s="227"/>
      <c r="I185" s="227"/>
      <c r="J185" s="227"/>
      <c r="K185" s="227"/>
      <c r="L185" s="403" t="s">
        <v>285</v>
      </c>
      <c r="M185" s="404"/>
      <c r="N185" s="229"/>
      <c r="O185" s="230"/>
      <c r="P185" s="231"/>
      <c r="Q185" s="360"/>
      <c r="R185" s="361">
        <f>+P186</f>
        <v>4216.6666666666661</v>
      </c>
    </row>
    <row r="186" spans="1:18" x14ac:dyDescent="0.25">
      <c r="A186" s="22"/>
      <c r="B186" s="226"/>
      <c r="C186" s="23"/>
      <c r="D186" s="226"/>
      <c r="E186" s="226"/>
      <c r="F186" s="226"/>
      <c r="G186" s="227"/>
      <c r="H186" s="227">
        <v>391</v>
      </c>
      <c r="I186" s="227"/>
      <c r="J186" s="227"/>
      <c r="K186" s="227"/>
      <c r="L186" s="403" t="s">
        <v>286</v>
      </c>
      <c r="M186" s="404"/>
      <c r="N186" s="229"/>
      <c r="O186" s="230"/>
      <c r="P186" s="231">
        <f>+O187</f>
        <v>4216.6666666666661</v>
      </c>
      <c r="Q186" s="360"/>
      <c r="R186" s="361"/>
    </row>
    <row r="187" spans="1:18" x14ac:dyDescent="0.25">
      <c r="A187" s="22"/>
      <c r="B187" s="226"/>
      <c r="C187" s="23"/>
      <c r="D187" s="226"/>
      <c r="E187" s="226"/>
      <c r="F187" s="226"/>
      <c r="G187" s="227"/>
      <c r="H187" s="227"/>
      <c r="I187" s="227">
        <v>3913</v>
      </c>
      <c r="J187" s="227"/>
      <c r="K187" s="227"/>
      <c r="L187" s="403" t="s">
        <v>59</v>
      </c>
      <c r="M187" s="404"/>
      <c r="N187" s="229"/>
      <c r="O187" s="230">
        <f>SUM(N188:N189)</f>
        <v>4216.6666666666661</v>
      </c>
      <c r="P187" s="231"/>
      <c r="Q187" s="360"/>
      <c r="R187" s="361"/>
    </row>
    <row r="188" spans="1:18" x14ac:dyDescent="0.25">
      <c r="A188" s="22"/>
      <c r="B188" s="226"/>
      <c r="C188" s="23"/>
      <c r="D188" s="226"/>
      <c r="E188" s="226"/>
      <c r="F188" s="226"/>
      <c r="G188" s="227"/>
      <c r="H188" s="227"/>
      <c r="I188" s="227"/>
      <c r="J188" s="227">
        <v>39131</v>
      </c>
      <c r="K188" s="227"/>
      <c r="L188" s="403" t="s">
        <v>61</v>
      </c>
      <c r="M188" s="404"/>
      <c r="N188" s="229">
        <f>SUM(N179:N180)</f>
        <v>4166.6666666666661</v>
      </c>
      <c r="O188" s="230"/>
      <c r="P188" s="231"/>
      <c r="Q188" s="360"/>
      <c r="R188" s="361"/>
    </row>
    <row r="189" spans="1:18" x14ac:dyDescent="0.25">
      <c r="A189" s="22"/>
      <c r="B189" s="226"/>
      <c r="C189" s="23"/>
      <c r="D189" s="226"/>
      <c r="E189" s="226"/>
      <c r="F189" s="226"/>
      <c r="G189" s="227"/>
      <c r="H189" s="227"/>
      <c r="I189" s="227"/>
      <c r="J189" s="33">
        <v>39136</v>
      </c>
      <c r="K189" s="227"/>
      <c r="L189" s="403" t="s">
        <v>350</v>
      </c>
      <c r="M189" s="404"/>
      <c r="N189" s="229">
        <f>+O181</f>
        <v>50</v>
      </c>
      <c r="O189" s="230"/>
      <c r="P189" s="231"/>
      <c r="Q189" s="360"/>
      <c r="R189" s="361"/>
    </row>
    <row r="190" spans="1:18" x14ac:dyDescent="0.25">
      <c r="A190" s="22"/>
      <c r="B190" s="226"/>
      <c r="C190" s="23"/>
      <c r="D190" s="226"/>
      <c r="E190" s="226"/>
      <c r="F190" s="226"/>
      <c r="G190" s="227">
        <v>41</v>
      </c>
      <c r="H190" s="227"/>
      <c r="I190" s="227"/>
      <c r="J190" s="227"/>
      <c r="K190" s="227"/>
      <c r="L190" s="403" t="s">
        <v>112</v>
      </c>
      <c r="M190" s="404"/>
      <c r="N190" s="229"/>
      <c r="O190" s="230"/>
      <c r="P190" s="231"/>
      <c r="Q190" s="360"/>
      <c r="R190" s="361">
        <f>+P191</f>
        <v>386.36</v>
      </c>
    </row>
    <row r="191" spans="1:18" x14ac:dyDescent="0.25">
      <c r="A191" s="22"/>
      <c r="B191" s="226"/>
      <c r="C191" s="23"/>
      <c r="D191" s="226"/>
      <c r="E191" s="226"/>
      <c r="F191" s="226"/>
      <c r="G191" s="227"/>
      <c r="H191" s="227">
        <v>415</v>
      </c>
      <c r="I191" s="227"/>
      <c r="J191" s="227"/>
      <c r="K191" s="227"/>
      <c r="L191" s="403" t="s">
        <v>284</v>
      </c>
      <c r="M191" s="404"/>
      <c r="N191" s="229"/>
      <c r="O191" s="230"/>
      <c r="P191" s="231">
        <f>+O192</f>
        <v>386.36</v>
      </c>
      <c r="Q191" s="360"/>
      <c r="R191" s="361"/>
    </row>
    <row r="192" spans="1:18" x14ac:dyDescent="0.25">
      <c r="A192" s="22"/>
      <c r="B192" s="226"/>
      <c r="C192" s="23"/>
      <c r="D192" s="226"/>
      <c r="E192" s="226"/>
      <c r="F192" s="226"/>
      <c r="G192" s="227"/>
      <c r="H192" s="227"/>
      <c r="I192" s="227">
        <v>4151</v>
      </c>
      <c r="J192" s="227"/>
      <c r="K192" s="227"/>
      <c r="L192" s="403" t="s">
        <v>263</v>
      </c>
      <c r="M192" s="404"/>
      <c r="N192" s="229"/>
      <c r="O192" s="230">
        <f>+P183</f>
        <v>386.36</v>
      </c>
      <c r="P192" s="231"/>
      <c r="Q192" s="360"/>
      <c r="R192" s="361"/>
    </row>
    <row r="193" spans="1:18" x14ac:dyDescent="0.25">
      <c r="A193" s="22"/>
      <c r="B193" s="24"/>
      <c r="C193" s="23"/>
      <c r="D193" s="24"/>
      <c r="E193" s="24"/>
      <c r="F193" s="24"/>
      <c r="G193" s="33"/>
      <c r="H193" s="33"/>
      <c r="I193" s="33"/>
      <c r="J193" s="33"/>
      <c r="K193" s="33"/>
      <c r="L193" s="403" t="s">
        <v>340</v>
      </c>
      <c r="M193" s="404"/>
      <c r="N193" s="32"/>
      <c r="O193" s="81"/>
      <c r="P193" s="297"/>
      <c r="Q193" s="360"/>
      <c r="R193" s="361"/>
    </row>
    <row r="194" spans="1:18" x14ac:dyDescent="0.25">
      <c r="A194" s="22"/>
      <c r="B194" s="226"/>
      <c r="C194" s="23"/>
      <c r="D194" s="226"/>
      <c r="E194" s="226"/>
      <c r="F194" s="226"/>
      <c r="G194" s="227"/>
      <c r="H194" s="227"/>
      <c r="I194" s="227"/>
      <c r="J194" s="227"/>
      <c r="K194" s="227"/>
      <c r="L194" s="405" t="s">
        <v>351</v>
      </c>
      <c r="M194" s="406"/>
      <c r="N194" s="229"/>
      <c r="O194" s="230"/>
      <c r="P194" s="231"/>
      <c r="Q194" s="360"/>
      <c r="R194" s="361"/>
    </row>
    <row r="195" spans="1:18" x14ac:dyDescent="0.25">
      <c r="A195" s="22"/>
      <c r="B195" s="226"/>
      <c r="C195" s="23"/>
      <c r="D195" s="226"/>
      <c r="E195" s="226"/>
      <c r="F195" s="226"/>
      <c r="G195" s="312">
        <v>90</v>
      </c>
      <c r="H195" s="227"/>
      <c r="I195" s="227"/>
      <c r="J195" s="227"/>
      <c r="K195" s="227"/>
      <c r="L195" s="401" t="s">
        <v>352</v>
      </c>
      <c r="M195" s="402"/>
      <c r="N195" s="229"/>
      <c r="O195" s="230"/>
      <c r="P195" s="231"/>
      <c r="Q195" s="360">
        <f>SUM(P196:P225)</f>
        <v>19092.904703030301</v>
      </c>
      <c r="R195" s="361"/>
    </row>
    <row r="196" spans="1:18" x14ac:dyDescent="0.25">
      <c r="A196" s="22"/>
      <c r="B196" s="226"/>
      <c r="C196" s="23"/>
      <c r="D196" s="226"/>
      <c r="E196" s="226"/>
      <c r="F196" s="226"/>
      <c r="G196" s="227"/>
      <c r="H196" s="227"/>
      <c r="I196" s="227">
        <v>9001</v>
      </c>
      <c r="J196" s="227"/>
      <c r="K196" s="227"/>
      <c r="L196" s="401" t="s">
        <v>342</v>
      </c>
      <c r="M196" s="402"/>
      <c r="N196" s="229"/>
      <c r="O196" s="230"/>
      <c r="P196" s="231">
        <f>+ACC!D6</f>
        <v>1200</v>
      </c>
      <c r="Q196" s="360"/>
      <c r="R196" s="361"/>
    </row>
    <row r="197" spans="1:18" x14ac:dyDescent="0.25">
      <c r="A197" s="22"/>
      <c r="B197" s="226"/>
      <c r="C197" s="23"/>
      <c r="D197" s="226"/>
      <c r="E197" s="226"/>
      <c r="F197" s="226"/>
      <c r="G197" s="227"/>
      <c r="H197" s="227"/>
      <c r="I197" s="227">
        <v>9002</v>
      </c>
      <c r="J197" s="227"/>
      <c r="K197" s="227"/>
      <c r="L197" s="401" t="s">
        <v>353</v>
      </c>
      <c r="M197" s="402"/>
      <c r="N197" s="229"/>
      <c r="O197" s="230"/>
      <c r="P197" s="231">
        <f>+O198</f>
        <v>5503.6</v>
      </c>
      <c r="Q197" s="360"/>
      <c r="R197" s="361"/>
    </row>
    <row r="198" spans="1:18" x14ac:dyDescent="0.25">
      <c r="A198" s="22"/>
      <c r="B198" s="226"/>
      <c r="C198" s="23"/>
      <c r="D198" s="226"/>
      <c r="E198" s="226"/>
      <c r="F198" s="226"/>
      <c r="G198" s="227"/>
      <c r="H198" s="227"/>
      <c r="I198" s="227"/>
      <c r="J198" s="227"/>
      <c r="K198" s="227"/>
      <c r="L198" s="397" t="s">
        <v>40</v>
      </c>
      <c r="M198" s="398"/>
      <c r="N198" s="229"/>
      <c r="O198" s="230">
        <f>+N199+N200+N201</f>
        <v>5503.6</v>
      </c>
      <c r="P198" s="231"/>
      <c r="Q198" s="360"/>
      <c r="R198" s="361"/>
    </row>
    <row r="199" spans="1:18" x14ac:dyDescent="0.25">
      <c r="A199" s="22"/>
      <c r="B199" s="226"/>
      <c r="C199" s="23"/>
      <c r="D199" s="226"/>
      <c r="E199" s="226"/>
      <c r="F199" s="226"/>
      <c r="G199" s="227"/>
      <c r="H199" s="227"/>
      <c r="I199" s="227"/>
      <c r="J199" s="227"/>
      <c r="K199" s="227"/>
      <c r="L199" s="399" t="s">
        <v>244</v>
      </c>
      <c r="M199" s="400"/>
      <c r="N199" s="229">
        <f>+ACC!D9</f>
        <v>3663.6</v>
      </c>
      <c r="O199" s="230"/>
      <c r="P199" s="231"/>
      <c r="Q199" s="360"/>
      <c r="R199" s="361"/>
    </row>
    <row r="200" spans="1:18" x14ac:dyDescent="0.25">
      <c r="A200" s="22"/>
      <c r="B200" s="226"/>
      <c r="C200" s="23"/>
      <c r="D200" s="226"/>
      <c r="E200" s="226"/>
      <c r="F200" s="226"/>
      <c r="G200" s="227"/>
      <c r="H200" s="227"/>
      <c r="I200" s="227"/>
      <c r="J200" s="227"/>
      <c r="K200" s="227"/>
      <c r="L200" s="399" t="s">
        <v>249</v>
      </c>
      <c r="M200" s="400"/>
      <c r="N200" s="229">
        <f>+ACC!D14</f>
        <v>1130</v>
      </c>
      <c r="O200" s="230"/>
      <c r="P200" s="231"/>
      <c r="Q200" s="360"/>
      <c r="R200" s="361"/>
    </row>
    <row r="201" spans="1:18" x14ac:dyDescent="0.25">
      <c r="A201" s="22"/>
      <c r="B201" s="226"/>
      <c r="C201" s="23"/>
      <c r="D201" s="226"/>
      <c r="E201" s="226"/>
      <c r="F201" s="226"/>
      <c r="G201" s="227"/>
      <c r="H201" s="227"/>
      <c r="I201" s="227"/>
      <c r="J201" s="227"/>
      <c r="K201" s="227"/>
      <c r="L201" s="399" t="s">
        <v>251</v>
      </c>
      <c r="M201" s="400"/>
      <c r="N201" s="229">
        <f>+ACC!D22</f>
        <v>710</v>
      </c>
      <c r="O201" s="230"/>
      <c r="P201" s="231"/>
      <c r="Q201" s="360"/>
      <c r="R201" s="361"/>
    </row>
    <row r="202" spans="1:18" x14ac:dyDescent="0.25">
      <c r="A202" s="22"/>
      <c r="B202" s="226"/>
      <c r="C202" s="23"/>
      <c r="D202" s="226"/>
      <c r="E202" s="226"/>
      <c r="F202" s="226"/>
      <c r="G202" s="227"/>
      <c r="H202" s="227"/>
      <c r="I202" s="227">
        <v>9003</v>
      </c>
      <c r="J202" s="227"/>
      <c r="K202" s="227"/>
      <c r="L202" s="311" t="s">
        <v>116</v>
      </c>
      <c r="M202" s="228"/>
      <c r="N202" s="229"/>
      <c r="O202" s="230"/>
      <c r="P202" s="231">
        <f>+O203</f>
        <v>250</v>
      </c>
      <c r="Q202" s="360"/>
      <c r="R202" s="361"/>
    </row>
    <row r="203" spans="1:18" x14ac:dyDescent="0.25">
      <c r="A203" s="22"/>
      <c r="B203" s="226"/>
      <c r="C203" s="23"/>
      <c r="D203" s="226"/>
      <c r="E203" s="226"/>
      <c r="F203" s="226"/>
      <c r="G203" s="227"/>
      <c r="H203" s="227"/>
      <c r="I203" s="227"/>
      <c r="J203" s="227"/>
      <c r="K203" s="227"/>
      <c r="L203" s="212" t="s">
        <v>257</v>
      </c>
      <c r="M203" s="228"/>
      <c r="N203" s="229"/>
      <c r="O203" s="230">
        <f>+ACC!E27</f>
        <v>250</v>
      </c>
      <c r="P203" s="231"/>
      <c r="Q203" s="360"/>
      <c r="R203" s="361"/>
    </row>
    <row r="204" spans="1:18" x14ac:dyDescent="0.25">
      <c r="A204" s="22"/>
      <c r="B204" s="226"/>
      <c r="C204" s="23"/>
      <c r="D204" s="226"/>
      <c r="E204" s="226"/>
      <c r="F204" s="226"/>
      <c r="G204" s="227"/>
      <c r="H204" s="227"/>
      <c r="I204" s="227">
        <v>9004</v>
      </c>
      <c r="J204" s="227"/>
      <c r="K204" s="227"/>
      <c r="L204" s="310" t="s">
        <v>354</v>
      </c>
      <c r="M204" s="228"/>
      <c r="N204" s="229"/>
      <c r="O204" s="230"/>
      <c r="P204" s="231">
        <f>SUM(O205:O208)</f>
        <v>5208.1780363636353</v>
      </c>
      <c r="Q204" s="360"/>
      <c r="R204" s="361"/>
    </row>
    <row r="205" spans="1:18" x14ac:dyDescent="0.25">
      <c r="A205" s="22"/>
      <c r="B205" s="226"/>
      <c r="C205" s="23"/>
      <c r="D205" s="226"/>
      <c r="E205" s="226"/>
      <c r="F205" s="226"/>
      <c r="G205" s="227"/>
      <c r="H205" s="227"/>
      <c r="I205" s="227"/>
      <c r="J205" s="227"/>
      <c r="K205" s="227"/>
      <c r="L205" s="216" t="s">
        <v>258</v>
      </c>
      <c r="M205" s="228"/>
      <c r="N205" s="229"/>
      <c r="O205" s="230">
        <f>+ACC!D28</f>
        <v>4250</v>
      </c>
      <c r="P205" s="231"/>
      <c r="Q205" s="360"/>
      <c r="R205" s="361"/>
    </row>
    <row r="206" spans="1:18" x14ac:dyDescent="0.25">
      <c r="A206" s="22"/>
      <c r="B206" s="226"/>
      <c r="C206" s="23"/>
      <c r="D206" s="226"/>
      <c r="E206" s="226"/>
      <c r="F206" s="226"/>
      <c r="G206" s="227"/>
      <c r="H206" s="227"/>
      <c r="I206" s="227"/>
      <c r="J206" s="227"/>
      <c r="K206" s="227"/>
      <c r="L206" s="216" t="s">
        <v>259</v>
      </c>
      <c r="M206" s="228"/>
      <c r="N206" s="229"/>
      <c r="O206" s="230">
        <f>+ACC!D29</f>
        <v>386.36</v>
      </c>
      <c r="P206" s="231"/>
      <c r="Q206" s="360"/>
      <c r="R206" s="361"/>
    </row>
    <row r="207" spans="1:18" x14ac:dyDescent="0.25">
      <c r="A207" s="22"/>
      <c r="B207" s="226"/>
      <c r="C207" s="23"/>
      <c r="D207" s="226"/>
      <c r="E207" s="226"/>
      <c r="F207" s="226"/>
      <c r="G207" s="227"/>
      <c r="H207" s="227"/>
      <c r="I207" s="227"/>
      <c r="J207" s="227"/>
      <c r="K207" s="227"/>
      <c r="L207" s="216" t="s">
        <v>261</v>
      </c>
      <c r="M207" s="228"/>
      <c r="N207" s="229"/>
      <c r="O207" s="230">
        <f>+ACC!D30</f>
        <v>185.45439999999999</v>
      </c>
      <c r="P207" s="231"/>
      <c r="Q207" s="360"/>
      <c r="R207" s="361"/>
    </row>
    <row r="208" spans="1:18" x14ac:dyDescent="0.25">
      <c r="A208" s="22"/>
      <c r="B208" s="226"/>
      <c r="C208" s="23"/>
      <c r="D208" s="226"/>
      <c r="E208" s="226"/>
      <c r="F208" s="226"/>
      <c r="G208" s="227"/>
      <c r="H208" s="227"/>
      <c r="I208" s="227"/>
      <c r="J208" s="227"/>
      <c r="K208" s="227"/>
      <c r="L208" s="309" t="s">
        <v>263</v>
      </c>
      <c r="M208" s="228"/>
      <c r="N208" s="229"/>
      <c r="O208" s="230">
        <f>+ACC!D31</f>
        <v>386.36363636363637</v>
      </c>
      <c r="P208" s="231"/>
      <c r="Q208" s="360"/>
      <c r="R208" s="361"/>
    </row>
    <row r="209" spans="1:18" x14ac:dyDescent="0.25">
      <c r="A209" s="22"/>
      <c r="B209" s="226"/>
      <c r="C209" s="23"/>
      <c r="D209" s="226"/>
      <c r="E209" s="226"/>
      <c r="F209" s="226"/>
      <c r="G209" s="227"/>
      <c r="H209" s="227"/>
      <c r="I209" s="227">
        <v>9005</v>
      </c>
      <c r="J209" s="227"/>
      <c r="K209" s="227"/>
      <c r="L209" s="310" t="s">
        <v>355</v>
      </c>
      <c r="M209" s="228"/>
      <c r="N209" s="229"/>
      <c r="O209" s="230"/>
      <c r="P209" s="231">
        <f>SUM(O210:O219)</f>
        <v>1224</v>
      </c>
      <c r="Q209" s="360"/>
      <c r="R209" s="361"/>
    </row>
    <row r="210" spans="1:18" x14ac:dyDescent="0.25">
      <c r="A210" s="22"/>
      <c r="B210" s="226"/>
      <c r="C210" s="23"/>
      <c r="D210" s="226"/>
      <c r="E210" s="226"/>
      <c r="F210" s="226"/>
      <c r="G210" s="227"/>
      <c r="H210" s="227"/>
      <c r="I210" s="227"/>
      <c r="J210" s="227"/>
      <c r="K210" s="227"/>
      <c r="L210" s="305" t="s">
        <v>356</v>
      </c>
      <c r="M210" s="228"/>
      <c r="N210" s="229"/>
      <c r="O210" s="230">
        <f>+ACC!D32</f>
        <v>150</v>
      </c>
      <c r="P210" s="231"/>
      <c r="Q210" s="360"/>
      <c r="R210" s="361"/>
    </row>
    <row r="211" spans="1:18" x14ac:dyDescent="0.25">
      <c r="A211" s="22"/>
      <c r="B211" s="226"/>
      <c r="C211" s="23"/>
      <c r="D211" s="226"/>
      <c r="E211" s="226"/>
      <c r="F211" s="226"/>
      <c r="G211" s="227"/>
      <c r="H211" s="227"/>
      <c r="I211" s="227"/>
      <c r="J211" s="227"/>
      <c r="K211" s="227"/>
      <c r="L211" s="305" t="s">
        <v>357</v>
      </c>
      <c r="M211" s="228"/>
      <c r="N211" s="229"/>
      <c r="O211" s="230">
        <f>SUM(N212:N213)</f>
        <v>80</v>
      </c>
      <c r="P211" s="231"/>
      <c r="Q211" s="360"/>
      <c r="R211" s="361"/>
    </row>
    <row r="212" spans="1:18" x14ac:dyDescent="0.25">
      <c r="A212" s="22"/>
      <c r="B212" s="226"/>
      <c r="C212" s="23"/>
      <c r="D212" s="226"/>
      <c r="E212" s="226"/>
      <c r="F212" s="226"/>
      <c r="G212" s="227"/>
      <c r="H212" s="227"/>
      <c r="I212" s="227"/>
      <c r="J212" s="227"/>
      <c r="K212" s="227"/>
      <c r="L212" s="212" t="s">
        <v>362</v>
      </c>
      <c r="M212" s="228"/>
      <c r="N212" s="229">
        <f>+ACC!E34</f>
        <v>50</v>
      </c>
      <c r="O212" s="230"/>
      <c r="P212" s="231"/>
      <c r="Q212" s="360"/>
      <c r="R212" s="361"/>
    </row>
    <row r="213" spans="1:18" x14ac:dyDescent="0.25">
      <c r="A213" s="22"/>
      <c r="B213" s="226"/>
      <c r="C213" s="23"/>
      <c r="D213" s="226"/>
      <c r="E213" s="226"/>
      <c r="F213" s="226"/>
      <c r="G213" s="227"/>
      <c r="H213" s="227"/>
      <c r="I213" s="227"/>
      <c r="J213" s="227"/>
      <c r="K213" s="227"/>
      <c r="L213" s="212" t="s">
        <v>363</v>
      </c>
      <c r="M213" s="228"/>
      <c r="N213" s="229">
        <f>+ACC!F35</f>
        <v>30</v>
      </c>
      <c r="O213" s="230"/>
      <c r="P213" s="231"/>
      <c r="Q213" s="360"/>
      <c r="R213" s="361"/>
    </row>
    <row r="214" spans="1:18" x14ac:dyDescent="0.25">
      <c r="A214" s="22"/>
      <c r="B214" s="226"/>
      <c r="C214" s="23"/>
      <c r="D214" s="226"/>
      <c r="E214" s="226"/>
      <c r="F214" s="226"/>
      <c r="G214" s="227"/>
      <c r="H214" s="227"/>
      <c r="I214" s="227"/>
      <c r="J214" s="227"/>
      <c r="K214" s="227"/>
      <c r="L214" s="305" t="s">
        <v>364</v>
      </c>
      <c r="M214" s="228"/>
      <c r="N214" s="229"/>
      <c r="O214" s="230">
        <f>SUM(N215:N218)</f>
        <v>864</v>
      </c>
      <c r="P214" s="231"/>
      <c r="Q214" s="360"/>
      <c r="R214" s="361"/>
    </row>
    <row r="215" spans="1:18" x14ac:dyDescent="0.25">
      <c r="A215" s="22"/>
      <c r="B215" s="226"/>
      <c r="C215" s="23"/>
      <c r="D215" s="226"/>
      <c r="E215" s="226"/>
      <c r="F215" s="226"/>
      <c r="G215" s="227"/>
      <c r="H215" s="227"/>
      <c r="I215" s="227"/>
      <c r="J215" s="227"/>
      <c r="K215" s="227"/>
      <c r="L215" s="216" t="s">
        <v>358</v>
      </c>
      <c r="M215" s="228"/>
      <c r="N215" s="229">
        <f>+ACC!E37</f>
        <v>324</v>
      </c>
      <c r="O215" s="230"/>
      <c r="P215" s="231"/>
      <c r="Q215" s="360"/>
      <c r="R215" s="361"/>
    </row>
    <row r="216" spans="1:18" x14ac:dyDescent="0.25">
      <c r="A216" s="22"/>
      <c r="B216" s="226"/>
      <c r="C216" s="23"/>
      <c r="D216" s="226"/>
      <c r="E216" s="226"/>
      <c r="F216" s="226"/>
      <c r="G216" s="227"/>
      <c r="H216" s="227"/>
      <c r="I216" s="227"/>
      <c r="J216" s="227"/>
      <c r="K216" s="227"/>
      <c r="L216" s="216" t="s">
        <v>359</v>
      </c>
      <c r="M216" s="228"/>
      <c r="N216" s="229">
        <f>+ACC!E38</f>
        <v>216</v>
      </c>
      <c r="O216" s="230"/>
      <c r="P216" s="231"/>
      <c r="Q216" s="360"/>
      <c r="R216" s="361"/>
    </row>
    <row r="217" spans="1:18" x14ac:dyDescent="0.25">
      <c r="A217" s="22"/>
      <c r="B217" s="226"/>
      <c r="C217" s="23"/>
      <c r="D217" s="226"/>
      <c r="E217" s="226"/>
      <c r="F217" s="226"/>
      <c r="G217" s="227"/>
      <c r="H217" s="227"/>
      <c r="I217" s="227"/>
      <c r="J217" s="227"/>
      <c r="K217" s="227"/>
      <c r="L217" s="216" t="s">
        <v>360</v>
      </c>
      <c r="M217" s="228"/>
      <c r="N217" s="229">
        <f>+ACC!E39</f>
        <v>108</v>
      </c>
      <c r="O217" s="230"/>
      <c r="P217" s="231"/>
      <c r="Q217" s="360"/>
      <c r="R217" s="361"/>
    </row>
    <row r="218" spans="1:18" x14ac:dyDescent="0.25">
      <c r="A218" s="22"/>
      <c r="B218" s="226"/>
      <c r="C218" s="23"/>
      <c r="D218" s="226"/>
      <c r="E218" s="226"/>
      <c r="F218" s="226"/>
      <c r="G218" s="227"/>
      <c r="H218" s="227"/>
      <c r="I218" s="227"/>
      <c r="J218" s="227"/>
      <c r="K218" s="227"/>
      <c r="L218" s="216" t="s">
        <v>361</v>
      </c>
      <c r="M218" s="228"/>
      <c r="N218" s="229">
        <f>+ACC!E40</f>
        <v>216</v>
      </c>
      <c r="O218" s="230"/>
      <c r="P218" s="231"/>
      <c r="Q218" s="360"/>
      <c r="R218" s="361"/>
    </row>
    <row r="219" spans="1:18" x14ac:dyDescent="0.25">
      <c r="A219" s="22"/>
      <c r="B219" s="226"/>
      <c r="C219" s="23"/>
      <c r="D219" s="226"/>
      <c r="E219" s="226"/>
      <c r="F219" s="226"/>
      <c r="G219" s="227"/>
      <c r="H219" s="227"/>
      <c r="I219" s="227"/>
      <c r="J219" s="227"/>
      <c r="K219" s="227"/>
      <c r="L219" s="305" t="s">
        <v>201</v>
      </c>
      <c r="M219" s="228"/>
      <c r="N219" s="229"/>
      <c r="O219" s="230">
        <f>+ACC!D41</f>
        <v>130</v>
      </c>
      <c r="P219" s="231"/>
      <c r="Q219" s="360"/>
      <c r="R219" s="361"/>
    </row>
    <row r="220" spans="1:18" x14ac:dyDescent="0.25">
      <c r="A220" s="22"/>
      <c r="B220" s="226"/>
      <c r="C220" s="23"/>
      <c r="D220" s="226"/>
      <c r="E220" s="226"/>
      <c r="F220" s="226"/>
      <c r="G220" s="227"/>
      <c r="H220" s="227"/>
      <c r="I220" s="227">
        <v>9006</v>
      </c>
      <c r="J220" s="227"/>
      <c r="K220" s="227"/>
      <c r="L220" s="310" t="s">
        <v>365</v>
      </c>
      <c r="M220" s="228"/>
      <c r="N220" s="229"/>
      <c r="O220" s="230"/>
      <c r="P220" s="231">
        <f>+O221</f>
        <v>32.9</v>
      </c>
      <c r="Q220" s="360"/>
      <c r="R220" s="361"/>
    </row>
    <row r="221" spans="1:18" x14ac:dyDescent="0.25">
      <c r="A221" s="22"/>
      <c r="B221" s="226"/>
      <c r="C221" s="23"/>
      <c r="D221" s="226"/>
      <c r="E221" s="226"/>
      <c r="F221" s="226"/>
      <c r="G221" s="227"/>
      <c r="H221" s="227"/>
      <c r="I221" s="227"/>
      <c r="J221" s="227"/>
      <c r="K221" s="227"/>
      <c r="L221" s="228" t="s">
        <v>366</v>
      </c>
      <c r="M221" s="228"/>
      <c r="N221" s="229"/>
      <c r="O221" s="230">
        <f>+ACC!D42</f>
        <v>32.9</v>
      </c>
      <c r="P221" s="231"/>
      <c r="Q221" s="360"/>
      <c r="R221" s="361"/>
    </row>
    <row r="222" spans="1:18" x14ac:dyDescent="0.25">
      <c r="A222" s="22"/>
      <c r="B222" s="226"/>
      <c r="C222" s="23"/>
      <c r="D222" s="226"/>
      <c r="E222" s="226"/>
      <c r="F222" s="226"/>
      <c r="G222" s="227"/>
      <c r="H222" s="227"/>
      <c r="I222" s="227">
        <v>9007</v>
      </c>
      <c r="J222" s="227"/>
      <c r="K222" s="227"/>
      <c r="L222" s="310" t="s">
        <v>91</v>
      </c>
      <c r="M222" s="228"/>
      <c r="N222" s="229"/>
      <c r="O222" s="230"/>
      <c r="P222" s="231">
        <f>SUM(O223:O224)</f>
        <v>1457.56</v>
      </c>
      <c r="Q222" s="360"/>
      <c r="R222" s="361"/>
    </row>
    <row r="223" spans="1:18" x14ac:dyDescent="0.25">
      <c r="A223" s="22"/>
      <c r="B223" s="226"/>
      <c r="C223" s="23"/>
      <c r="D223" s="226"/>
      <c r="E223" s="226"/>
      <c r="F223" s="226"/>
      <c r="G223" s="227"/>
      <c r="H223" s="227"/>
      <c r="I223" s="227"/>
      <c r="J223" s="227"/>
      <c r="K223" s="227"/>
      <c r="L223" s="305" t="s">
        <v>269</v>
      </c>
      <c r="M223" s="228"/>
      <c r="N223" s="229"/>
      <c r="O223" s="230">
        <f>+ACC!D43</f>
        <v>1407.56</v>
      </c>
      <c r="P223" s="231"/>
      <c r="Q223" s="360"/>
      <c r="R223" s="361"/>
    </row>
    <row r="224" spans="1:18" x14ac:dyDescent="0.25">
      <c r="A224" s="22"/>
      <c r="B224" s="226"/>
      <c r="C224" s="23"/>
      <c r="D224" s="226"/>
      <c r="E224" s="226"/>
      <c r="F224" s="226"/>
      <c r="G224" s="227"/>
      <c r="H224" s="227"/>
      <c r="I224" s="227"/>
      <c r="J224" s="227"/>
      <c r="K224" s="227"/>
      <c r="L224" s="305" t="s">
        <v>270</v>
      </c>
      <c r="M224" s="228"/>
      <c r="N224" s="229"/>
      <c r="O224" s="230">
        <f>+ACC!D44</f>
        <v>50</v>
      </c>
      <c r="P224" s="231"/>
      <c r="Q224" s="360"/>
      <c r="R224" s="361"/>
    </row>
    <row r="225" spans="1:18" x14ac:dyDescent="0.25">
      <c r="A225" s="22"/>
      <c r="B225" s="226"/>
      <c r="C225" s="23"/>
      <c r="D225" s="226"/>
      <c r="E225" s="226"/>
      <c r="F225" s="226"/>
      <c r="G225" s="227"/>
      <c r="H225" s="227"/>
      <c r="I225" s="227">
        <v>9008</v>
      </c>
      <c r="J225" s="227"/>
      <c r="K225" s="227"/>
      <c r="L225" s="310" t="s">
        <v>280</v>
      </c>
      <c r="M225" s="228"/>
      <c r="N225" s="229"/>
      <c r="O225" s="230"/>
      <c r="P225" s="231">
        <f>SUM(O226:O229)</f>
        <v>4216.6666666666661</v>
      </c>
      <c r="Q225" s="360"/>
      <c r="R225" s="361"/>
    </row>
    <row r="226" spans="1:18" x14ac:dyDescent="0.25">
      <c r="A226" s="22"/>
      <c r="B226" s="226"/>
      <c r="C226" s="23"/>
      <c r="D226" s="226"/>
      <c r="E226" s="226"/>
      <c r="F226" s="226"/>
      <c r="G226" s="227"/>
      <c r="H226" s="227"/>
      <c r="I226" s="227"/>
      <c r="J226" s="227"/>
      <c r="K226" s="227"/>
      <c r="L226" s="305" t="s">
        <v>61</v>
      </c>
      <c r="M226" s="228"/>
      <c r="N226" s="229"/>
      <c r="O226" s="230">
        <f>SUM(N227:N228)</f>
        <v>4166.6666666666661</v>
      </c>
      <c r="P226" s="231"/>
      <c r="Q226" s="360"/>
      <c r="R226" s="361"/>
    </row>
    <row r="227" spans="1:18" x14ac:dyDescent="0.25">
      <c r="A227" s="22"/>
      <c r="B227" s="226"/>
      <c r="C227" s="23"/>
      <c r="D227" s="226"/>
      <c r="E227" s="226"/>
      <c r="F227" s="226"/>
      <c r="G227" s="227"/>
      <c r="H227" s="227"/>
      <c r="I227" s="227"/>
      <c r="J227" s="227"/>
      <c r="K227" s="227"/>
      <c r="L227" s="216" t="s">
        <v>272</v>
      </c>
      <c r="M227" s="228"/>
      <c r="N227" s="229">
        <f>+ACC!F46</f>
        <v>3333.333333333333</v>
      </c>
      <c r="O227" s="230"/>
      <c r="P227" s="231"/>
      <c r="Q227" s="360"/>
      <c r="R227" s="361"/>
    </row>
    <row r="228" spans="1:18" x14ac:dyDescent="0.25">
      <c r="A228" s="22"/>
      <c r="B228" s="226"/>
      <c r="C228" s="23"/>
      <c r="D228" s="226"/>
      <c r="E228" s="226"/>
      <c r="F228" s="226"/>
      <c r="G228" s="227"/>
      <c r="H228" s="227"/>
      <c r="I228" s="227"/>
      <c r="J228" s="227"/>
      <c r="K228" s="227"/>
      <c r="L228" s="216" t="s">
        <v>273</v>
      </c>
      <c r="M228" s="228"/>
      <c r="N228" s="229">
        <f>+ACC!E47</f>
        <v>833.33333333333326</v>
      </c>
      <c r="O228" s="230"/>
      <c r="P228" s="231"/>
      <c r="Q228" s="360"/>
      <c r="R228" s="361"/>
    </row>
    <row r="229" spans="1:18" x14ac:dyDescent="0.25">
      <c r="A229" s="22"/>
      <c r="B229" s="226"/>
      <c r="C229" s="23"/>
      <c r="D229" s="226"/>
      <c r="E229" s="226"/>
      <c r="F229" s="226"/>
      <c r="G229" s="227"/>
      <c r="H229" s="227"/>
      <c r="I229" s="227"/>
      <c r="J229" s="227"/>
      <c r="K229" s="227"/>
      <c r="L229" s="305" t="s">
        <v>367</v>
      </c>
      <c r="M229" s="228"/>
      <c r="N229" s="229"/>
      <c r="O229" s="230">
        <f>+N230</f>
        <v>50</v>
      </c>
      <c r="P229" s="231"/>
      <c r="Q229" s="360"/>
      <c r="R229" s="361"/>
    </row>
    <row r="230" spans="1:18" x14ac:dyDescent="0.25">
      <c r="A230" s="22"/>
      <c r="B230" s="226"/>
      <c r="C230" s="23"/>
      <c r="D230" s="226"/>
      <c r="E230" s="226"/>
      <c r="F230" s="226"/>
      <c r="G230" s="227"/>
      <c r="H230" s="227"/>
      <c r="I230" s="227"/>
      <c r="J230" s="227"/>
      <c r="K230" s="227"/>
      <c r="L230" s="216" t="s">
        <v>275</v>
      </c>
      <c r="M230" s="228"/>
      <c r="N230" s="229">
        <f>+ACC!D49</f>
        <v>50</v>
      </c>
      <c r="O230" s="230"/>
      <c r="P230" s="231"/>
      <c r="Q230" s="360"/>
      <c r="R230" s="361"/>
    </row>
    <row r="231" spans="1:18" x14ac:dyDescent="0.25">
      <c r="A231" s="22"/>
      <c r="B231" s="226"/>
      <c r="C231" s="23"/>
      <c r="D231" s="226"/>
      <c r="E231" s="226"/>
      <c r="F231" s="226"/>
      <c r="G231" s="312">
        <v>79</v>
      </c>
      <c r="H231" s="227"/>
      <c r="I231" s="227"/>
      <c r="J231" s="227"/>
      <c r="K231" s="227"/>
      <c r="L231" s="310" t="s">
        <v>368</v>
      </c>
      <c r="M231" s="228"/>
      <c r="N231" s="229"/>
      <c r="O231" s="230"/>
      <c r="P231" s="231"/>
      <c r="Q231" s="360"/>
      <c r="R231" s="361">
        <f>+P232</f>
        <v>19092.904703030301</v>
      </c>
    </row>
    <row r="232" spans="1:18" x14ac:dyDescent="0.25">
      <c r="A232" s="22"/>
      <c r="B232" s="226"/>
      <c r="C232" s="23"/>
      <c r="D232" s="226"/>
      <c r="E232" s="226"/>
      <c r="F232" s="226"/>
      <c r="G232" s="227"/>
      <c r="H232" s="227">
        <v>791</v>
      </c>
      <c r="I232" s="227"/>
      <c r="J232" s="227"/>
      <c r="K232" s="227"/>
      <c r="L232" s="228" t="s">
        <v>369</v>
      </c>
      <c r="M232" s="228"/>
      <c r="N232" s="229"/>
      <c r="O232" s="230"/>
      <c r="P232" s="231">
        <f>SUM(P196:P225)</f>
        <v>19092.904703030301</v>
      </c>
      <c r="Q232" s="360"/>
      <c r="R232" s="361"/>
    </row>
    <row r="233" spans="1:18" x14ac:dyDescent="0.25">
      <c r="A233" s="22"/>
      <c r="B233" s="226"/>
      <c r="C233" s="23"/>
      <c r="D233" s="226"/>
      <c r="E233" s="226"/>
      <c r="F233" s="226"/>
      <c r="G233" s="227"/>
      <c r="H233" s="227"/>
      <c r="I233" s="227"/>
      <c r="J233" s="227"/>
      <c r="K233" s="227"/>
      <c r="L233" s="367" t="s">
        <v>370</v>
      </c>
      <c r="M233" s="228"/>
      <c r="N233" s="229"/>
      <c r="O233" s="230"/>
      <c r="P233" s="231"/>
      <c r="Q233" s="360"/>
      <c r="R233" s="361"/>
    </row>
    <row r="234" spans="1:18" x14ac:dyDescent="0.25">
      <c r="A234" s="22"/>
      <c r="B234" s="226"/>
      <c r="C234" s="23"/>
      <c r="D234" s="226"/>
      <c r="E234" s="226"/>
      <c r="F234" s="226"/>
      <c r="G234" s="227"/>
      <c r="H234" s="227"/>
      <c r="I234" s="227"/>
      <c r="J234" s="227"/>
      <c r="K234" s="227"/>
      <c r="L234" s="368" t="s">
        <v>371</v>
      </c>
      <c r="M234" s="228"/>
      <c r="N234" s="229"/>
      <c r="O234" s="230"/>
      <c r="P234" s="231"/>
      <c r="Q234" s="360"/>
      <c r="R234" s="361"/>
    </row>
    <row r="235" spans="1:18" x14ac:dyDescent="0.25">
      <c r="A235" s="22"/>
      <c r="B235" s="226"/>
      <c r="C235" s="23"/>
      <c r="D235" s="226"/>
      <c r="E235" s="226"/>
      <c r="F235" s="226"/>
      <c r="G235" s="312">
        <v>91</v>
      </c>
      <c r="H235" s="227"/>
      <c r="I235" s="227"/>
      <c r="J235" s="227"/>
      <c r="K235" s="227"/>
      <c r="L235" s="228" t="s">
        <v>373</v>
      </c>
      <c r="M235" s="228"/>
      <c r="N235" s="229"/>
      <c r="O235" s="230"/>
      <c r="P235" s="231"/>
      <c r="Q235" s="360">
        <f>SUM(O236:O242)</f>
        <v>1279.52373026035</v>
      </c>
      <c r="R235" s="361"/>
    </row>
    <row r="236" spans="1:18" x14ac:dyDescent="0.25">
      <c r="A236" s="22"/>
      <c r="B236" s="226"/>
      <c r="C236" s="23"/>
      <c r="D236" s="226"/>
      <c r="E236" s="226"/>
      <c r="F236" s="226"/>
      <c r="G236" s="227"/>
      <c r="H236" s="227"/>
      <c r="I236" s="227">
        <v>9101</v>
      </c>
      <c r="J236" s="227"/>
      <c r="K236" s="227"/>
      <c r="L236" s="228" t="s">
        <v>40</v>
      </c>
      <c r="M236" s="228"/>
      <c r="N236" s="229"/>
      <c r="O236" s="230">
        <f>+ACC!G23+ACC!G25</f>
        <v>104.46009389671363</v>
      </c>
      <c r="P236" s="231"/>
      <c r="Q236" s="360"/>
      <c r="R236" s="361"/>
    </row>
    <row r="237" spans="1:18" x14ac:dyDescent="0.25">
      <c r="A237" s="22"/>
      <c r="B237" s="24"/>
      <c r="C237" s="23"/>
      <c r="D237" s="24"/>
      <c r="E237" s="24"/>
      <c r="F237" s="24"/>
      <c r="G237" s="33"/>
      <c r="H237" s="33"/>
      <c r="I237" s="33">
        <v>9102</v>
      </c>
      <c r="J237" s="33"/>
      <c r="K237" s="33"/>
      <c r="L237" s="305" t="s">
        <v>258</v>
      </c>
      <c r="M237" s="31"/>
      <c r="N237" s="32"/>
      <c r="O237" s="81">
        <f>+ACC!G28</f>
        <v>250</v>
      </c>
      <c r="P237" s="297"/>
      <c r="Q237" s="360"/>
      <c r="R237" s="361"/>
    </row>
    <row r="238" spans="1:18" x14ac:dyDescent="0.25">
      <c r="A238" s="22"/>
      <c r="B238" s="226"/>
      <c r="C238" s="23"/>
      <c r="D238" s="226"/>
      <c r="E238" s="226"/>
      <c r="F238" s="226"/>
      <c r="G238" s="227"/>
      <c r="H238" s="227"/>
      <c r="I238" s="227">
        <v>9103</v>
      </c>
      <c r="J238" s="227"/>
      <c r="K238" s="227"/>
      <c r="L238" s="305" t="s">
        <v>259</v>
      </c>
      <c r="M238" s="228"/>
      <c r="N238" s="229"/>
      <c r="O238" s="81">
        <f>+ACC!G29</f>
        <v>22.727272727272727</v>
      </c>
      <c r="P238" s="231"/>
      <c r="Q238" s="360"/>
      <c r="R238" s="361"/>
    </row>
    <row r="239" spans="1:18" x14ac:dyDescent="0.25">
      <c r="A239" s="22"/>
      <c r="B239" s="226"/>
      <c r="C239" s="23"/>
      <c r="D239" s="226"/>
      <c r="E239" s="226"/>
      <c r="F239" s="226"/>
      <c r="G239" s="227"/>
      <c r="H239" s="227"/>
      <c r="I239" s="33">
        <v>9104</v>
      </c>
      <c r="J239" s="227"/>
      <c r="K239" s="227"/>
      <c r="L239" s="305" t="s">
        <v>261</v>
      </c>
      <c r="M239" s="228"/>
      <c r="N239" s="229"/>
      <c r="O239" s="81">
        <f>+ACC!G30</f>
        <v>10.90909090909091</v>
      </c>
      <c r="P239" s="231"/>
      <c r="Q239" s="360"/>
      <c r="R239" s="361"/>
    </row>
    <row r="240" spans="1:18" x14ac:dyDescent="0.25">
      <c r="A240" s="22"/>
      <c r="B240" s="226"/>
      <c r="C240" s="23"/>
      <c r="D240" s="226"/>
      <c r="E240" s="226"/>
      <c r="F240" s="226"/>
      <c r="G240" s="227"/>
      <c r="H240" s="227"/>
      <c r="I240" s="227">
        <v>9105</v>
      </c>
      <c r="J240" s="227"/>
      <c r="K240" s="227"/>
      <c r="L240" s="369" t="s">
        <v>263</v>
      </c>
      <c r="M240" s="228"/>
      <c r="N240" s="229"/>
      <c r="O240" s="81">
        <f>+ACC!G31</f>
        <v>22.727272727272727</v>
      </c>
      <c r="P240" s="231"/>
      <c r="Q240" s="360"/>
      <c r="R240" s="361"/>
    </row>
    <row r="241" spans="1:18" x14ac:dyDescent="0.25">
      <c r="A241" s="22"/>
      <c r="B241" s="226"/>
      <c r="C241" s="23"/>
      <c r="D241" s="226"/>
      <c r="E241" s="226"/>
      <c r="F241" s="226"/>
      <c r="G241" s="227"/>
      <c r="H241" s="227"/>
      <c r="I241" s="33">
        <v>9106</v>
      </c>
      <c r="J241" s="227"/>
      <c r="K241" s="227"/>
      <c r="L241" s="305" t="s">
        <v>266</v>
      </c>
      <c r="M241" s="228"/>
      <c r="N241" s="229"/>
      <c r="O241" s="230">
        <f>+ACC!G37+ACC!G38+ACC!G39+ACC!G40</f>
        <v>864</v>
      </c>
      <c r="P241" s="231"/>
      <c r="Q241" s="360"/>
      <c r="R241" s="361"/>
    </row>
    <row r="242" spans="1:18" x14ac:dyDescent="0.25">
      <c r="A242" s="22"/>
      <c r="B242" s="226"/>
      <c r="C242" s="23"/>
      <c r="D242" s="226"/>
      <c r="E242" s="226"/>
      <c r="F242" s="226"/>
      <c r="G242" s="227"/>
      <c r="H242" s="227"/>
      <c r="I242" s="227">
        <v>9107</v>
      </c>
      <c r="J242" s="227"/>
      <c r="K242" s="227"/>
      <c r="L242" s="228" t="s">
        <v>372</v>
      </c>
      <c r="M242" s="228"/>
      <c r="N242" s="229"/>
      <c r="O242" s="230">
        <f>+ACC!G42</f>
        <v>4.7</v>
      </c>
      <c r="P242" s="231"/>
      <c r="Q242" s="360"/>
      <c r="R242" s="361"/>
    </row>
    <row r="243" spans="1:18" x14ac:dyDescent="0.25">
      <c r="A243" s="22"/>
      <c r="B243" s="226"/>
      <c r="C243" s="23"/>
      <c r="D243" s="226"/>
      <c r="E243" s="226"/>
      <c r="F243" s="226"/>
      <c r="G243" s="312">
        <v>92</v>
      </c>
      <c r="H243" s="227"/>
      <c r="I243" s="227"/>
      <c r="J243" s="227"/>
      <c r="K243" s="227"/>
      <c r="L243" s="310" t="s">
        <v>238</v>
      </c>
      <c r="M243" s="228"/>
      <c r="N243" s="229"/>
      <c r="O243" s="230"/>
      <c r="P243" s="231"/>
      <c r="Q243" s="360">
        <f>SUM(O244:O250)</f>
        <v>1750.2757575757576</v>
      </c>
      <c r="R243" s="361"/>
    </row>
    <row r="244" spans="1:18" x14ac:dyDescent="0.25">
      <c r="A244" s="22"/>
      <c r="B244" s="226"/>
      <c r="C244" s="23"/>
      <c r="D244" s="226"/>
      <c r="E244" s="226"/>
      <c r="F244" s="226"/>
      <c r="G244" s="227"/>
      <c r="H244" s="227"/>
      <c r="I244" s="227">
        <v>9201</v>
      </c>
      <c r="J244" s="227"/>
      <c r="K244" s="227"/>
      <c r="L244" s="228" t="s">
        <v>374</v>
      </c>
      <c r="M244" s="228"/>
      <c r="N244" s="229"/>
      <c r="O244" s="230">
        <f>+ACC!H7</f>
        <v>1200</v>
      </c>
      <c r="P244" s="231"/>
      <c r="Q244" s="360"/>
      <c r="R244" s="361"/>
    </row>
    <row r="245" spans="1:18" x14ac:dyDescent="0.25">
      <c r="A245" s="22"/>
      <c r="B245" s="226"/>
      <c r="C245" s="23"/>
      <c r="D245" s="226"/>
      <c r="E245" s="226"/>
      <c r="F245" s="226"/>
      <c r="G245" s="227"/>
      <c r="H245" s="227"/>
      <c r="I245" s="227">
        <v>9202</v>
      </c>
      <c r="J245" s="227"/>
      <c r="K245" s="227"/>
      <c r="L245" s="228" t="s">
        <v>375</v>
      </c>
      <c r="M245" s="228"/>
      <c r="N245" s="229"/>
      <c r="O245" s="230">
        <f>+ACC!H23</f>
        <v>116.66666666666667</v>
      </c>
      <c r="P245" s="231"/>
      <c r="Q245" s="360"/>
      <c r="R245" s="361"/>
    </row>
    <row r="246" spans="1:18" x14ac:dyDescent="0.25">
      <c r="A246" s="22"/>
      <c r="B246" s="226"/>
      <c r="C246" s="23"/>
      <c r="D246" s="226"/>
      <c r="E246" s="226"/>
      <c r="F246" s="226"/>
      <c r="G246" s="227"/>
      <c r="H246" s="227"/>
      <c r="I246" s="227">
        <v>9203</v>
      </c>
      <c r="J246" s="227"/>
      <c r="K246" s="227"/>
      <c r="L246" s="305" t="s">
        <v>258</v>
      </c>
      <c r="M246" s="228"/>
      <c r="N246" s="229"/>
      <c r="O246" s="230">
        <f>+ACC!H28</f>
        <v>350</v>
      </c>
      <c r="P246" s="231"/>
      <c r="Q246" s="360"/>
      <c r="R246" s="361"/>
    </row>
    <row r="247" spans="1:18" x14ac:dyDescent="0.25">
      <c r="A247" s="22"/>
      <c r="B247" s="226"/>
      <c r="C247" s="23"/>
      <c r="D247" s="226"/>
      <c r="E247" s="226"/>
      <c r="F247" s="226"/>
      <c r="G247" s="227"/>
      <c r="H247" s="227"/>
      <c r="I247" s="227">
        <v>9204</v>
      </c>
      <c r="J247" s="227"/>
      <c r="K247" s="227"/>
      <c r="L247" s="305" t="s">
        <v>259</v>
      </c>
      <c r="M247" s="228"/>
      <c r="N247" s="229"/>
      <c r="O247" s="230">
        <f>+ACC!H29</f>
        <v>31.818181818181817</v>
      </c>
      <c r="P247" s="231"/>
      <c r="Q247" s="360"/>
      <c r="R247" s="361"/>
    </row>
    <row r="248" spans="1:18" x14ac:dyDescent="0.25">
      <c r="A248" s="22"/>
      <c r="B248" s="226"/>
      <c r="C248" s="23"/>
      <c r="D248" s="226"/>
      <c r="E248" s="226"/>
      <c r="F248" s="226"/>
      <c r="G248" s="227"/>
      <c r="H248" s="227"/>
      <c r="I248" s="227">
        <v>9205</v>
      </c>
      <c r="J248" s="227"/>
      <c r="K248" s="227"/>
      <c r="L248" s="305" t="s">
        <v>261</v>
      </c>
      <c r="M248" s="228"/>
      <c r="N248" s="229"/>
      <c r="O248" s="230">
        <f>+ACC!H30</f>
        <v>15.272727272727273</v>
      </c>
      <c r="P248" s="231"/>
      <c r="Q248" s="360"/>
      <c r="R248" s="361"/>
    </row>
    <row r="249" spans="1:18" x14ac:dyDescent="0.25">
      <c r="A249" s="22"/>
      <c r="B249" s="226"/>
      <c r="C249" s="23"/>
      <c r="D249" s="226"/>
      <c r="E249" s="226"/>
      <c r="F249" s="226"/>
      <c r="G249" s="227"/>
      <c r="H249" s="227"/>
      <c r="I249" s="227">
        <v>9206</v>
      </c>
      <c r="J249" s="227"/>
      <c r="K249" s="227"/>
      <c r="L249" s="369" t="s">
        <v>263</v>
      </c>
      <c r="M249" s="228"/>
      <c r="N249" s="229"/>
      <c r="O249" s="230">
        <f>+ACC!H31</f>
        <v>31.818181818181817</v>
      </c>
      <c r="P249" s="231"/>
      <c r="Q249" s="360"/>
      <c r="R249" s="361"/>
    </row>
    <row r="250" spans="1:18" x14ac:dyDescent="0.25">
      <c r="A250" s="22"/>
      <c r="B250" s="226"/>
      <c r="C250" s="23"/>
      <c r="D250" s="226"/>
      <c r="E250" s="226"/>
      <c r="F250" s="226"/>
      <c r="G250" s="227"/>
      <c r="H250" s="227"/>
      <c r="I250" s="227">
        <v>9207</v>
      </c>
      <c r="J250" s="227"/>
      <c r="K250" s="227"/>
      <c r="L250" s="228" t="s">
        <v>372</v>
      </c>
      <c r="M250" s="228"/>
      <c r="N250" s="229"/>
      <c r="O250" s="230">
        <f>+ACC!H42</f>
        <v>4.7</v>
      </c>
      <c r="P250" s="231"/>
      <c r="Q250" s="360"/>
      <c r="R250" s="361"/>
    </row>
    <row r="251" spans="1:18" x14ac:dyDescent="0.25">
      <c r="A251" s="22"/>
      <c r="B251" s="226"/>
      <c r="C251" s="23"/>
      <c r="D251" s="226"/>
      <c r="E251" s="226"/>
      <c r="F251" s="226"/>
      <c r="G251" s="227">
        <v>93</v>
      </c>
      <c r="H251" s="227"/>
      <c r="I251" s="227"/>
      <c r="J251" s="227"/>
      <c r="K251" s="227"/>
      <c r="L251" s="310" t="s">
        <v>239</v>
      </c>
      <c r="M251" s="228"/>
      <c r="N251" s="229"/>
      <c r="O251" s="230"/>
      <c r="P251" s="231"/>
      <c r="Q251" s="360">
        <f>SUM(O252:O257)</f>
        <v>3897.4181818181814</v>
      </c>
      <c r="R251" s="361"/>
    </row>
    <row r="252" spans="1:18" x14ac:dyDescent="0.25">
      <c r="A252" s="22"/>
      <c r="B252" s="226"/>
      <c r="C252" s="23"/>
      <c r="D252" s="226"/>
      <c r="E252" s="226"/>
      <c r="F252" s="226"/>
      <c r="G252" s="227"/>
      <c r="H252" s="227"/>
      <c r="I252" s="227">
        <v>9301</v>
      </c>
      <c r="J252" s="227"/>
      <c r="K252" s="227"/>
      <c r="L252" s="228" t="s">
        <v>42</v>
      </c>
      <c r="M252" s="228"/>
      <c r="N252" s="229"/>
      <c r="O252" s="230">
        <f>+ACC!I10+ACC!I11+ACC!I12+ACC!I13</f>
        <v>3663.6</v>
      </c>
      <c r="P252" s="231"/>
      <c r="Q252" s="360"/>
      <c r="R252" s="361"/>
    </row>
    <row r="253" spans="1:18" x14ac:dyDescent="0.25">
      <c r="A253" s="22"/>
      <c r="B253" s="226"/>
      <c r="C253" s="23"/>
      <c r="D253" s="226"/>
      <c r="E253" s="226"/>
      <c r="F253" s="226"/>
      <c r="G253" s="227"/>
      <c r="H253" s="227"/>
      <c r="I253" s="227">
        <v>9302</v>
      </c>
      <c r="J253" s="227"/>
      <c r="K253" s="227"/>
      <c r="L253" s="228" t="s">
        <v>40</v>
      </c>
      <c r="M253" s="228"/>
      <c r="N253" s="229"/>
      <c r="O253" s="230">
        <f>+ACC!I23</f>
        <v>50</v>
      </c>
      <c r="P253" s="231"/>
      <c r="Q253" s="360"/>
      <c r="R253" s="361"/>
    </row>
    <row r="254" spans="1:18" x14ac:dyDescent="0.25">
      <c r="A254" s="22"/>
      <c r="B254" s="226"/>
      <c r="C254" s="23"/>
      <c r="D254" s="226"/>
      <c r="E254" s="226"/>
      <c r="F254" s="226"/>
      <c r="G254" s="227"/>
      <c r="H254" s="227"/>
      <c r="I254" s="227">
        <v>9303</v>
      </c>
      <c r="J254" s="227"/>
      <c r="K254" s="227"/>
      <c r="L254" s="305" t="s">
        <v>258</v>
      </c>
      <c r="M254" s="228"/>
      <c r="N254" s="229"/>
      <c r="O254" s="230">
        <f>+ACC!I28</f>
        <v>150</v>
      </c>
      <c r="P254" s="231"/>
      <c r="Q254" s="360"/>
      <c r="R254" s="361"/>
    </row>
    <row r="255" spans="1:18" x14ac:dyDescent="0.25">
      <c r="A255" s="22"/>
      <c r="B255" s="226"/>
      <c r="C255" s="23"/>
      <c r="D255" s="226"/>
      <c r="E255" s="226"/>
      <c r="F255" s="226"/>
      <c r="G255" s="227"/>
      <c r="H255" s="227"/>
      <c r="I255" s="227">
        <v>9304</v>
      </c>
      <c r="J255" s="227"/>
      <c r="K255" s="227"/>
      <c r="L255" s="305" t="s">
        <v>259</v>
      </c>
      <c r="M255" s="228"/>
      <c r="N255" s="229"/>
      <c r="O255" s="230">
        <f>+ACC!I29</f>
        <v>13.636363636363637</v>
      </c>
      <c r="P255" s="231"/>
      <c r="Q255" s="360"/>
      <c r="R255" s="361"/>
    </row>
    <row r="256" spans="1:18" x14ac:dyDescent="0.25">
      <c r="A256" s="22"/>
      <c r="B256" s="226"/>
      <c r="C256" s="23"/>
      <c r="D256" s="226"/>
      <c r="E256" s="226"/>
      <c r="F256" s="226"/>
      <c r="G256" s="227"/>
      <c r="H256" s="227"/>
      <c r="I256" s="227">
        <v>9305</v>
      </c>
      <c r="J256" s="227"/>
      <c r="K256" s="227"/>
      <c r="L256" s="305" t="s">
        <v>261</v>
      </c>
      <c r="M256" s="228"/>
      <c r="N256" s="229"/>
      <c r="O256" s="230">
        <f>+ACC!I30</f>
        <v>6.545454545454545</v>
      </c>
      <c r="P256" s="231"/>
      <c r="Q256" s="360"/>
      <c r="R256" s="361"/>
    </row>
    <row r="257" spans="1:18" x14ac:dyDescent="0.25">
      <c r="A257" s="22"/>
      <c r="B257" s="226"/>
      <c r="C257" s="23"/>
      <c r="D257" s="226"/>
      <c r="E257" s="226"/>
      <c r="F257" s="226"/>
      <c r="G257" s="227"/>
      <c r="H257" s="227"/>
      <c r="I257" s="227">
        <v>9306</v>
      </c>
      <c r="J257" s="227"/>
      <c r="K257" s="227"/>
      <c r="L257" s="369" t="s">
        <v>263</v>
      </c>
      <c r="M257" s="228"/>
      <c r="N257" s="229"/>
      <c r="O257" s="230">
        <f>+ACC!I31</f>
        <v>13.636363636363637</v>
      </c>
      <c r="P257" s="231"/>
      <c r="Q257" s="360"/>
      <c r="R257" s="361"/>
    </row>
    <row r="258" spans="1:18" x14ac:dyDescent="0.25">
      <c r="A258" s="22"/>
      <c r="B258" s="226"/>
      <c r="C258" s="23"/>
      <c r="D258" s="226"/>
      <c r="E258" s="226"/>
      <c r="F258" s="226"/>
      <c r="G258" s="227">
        <v>94</v>
      </c>
      <c r="H258" s="227"/>
      <c r="I258" s="227"/>
      <c r="J258" s="227"/>
      <c r="K258" s="227"/>
      <c r="L258" s="228" t="s">
        <v>376</v>
      </c>
      <c r="M258" s="228"/>
      <c r="N258" s="229"/>
      <c r="O258" s="230"/>
      <c r="P258" s="231"/>
      <c r="Q258" s="360">
        <f>SUM(O259:O264)</f>
        <v>2124.3919760990188</v>
      </c>
      <c r="R258" s="361"/>
    </row>
    <row r="259" spans="1:18" x14ac:dyDescent="0.25">
      <c r="A259" s="22"/>
      <c r="B259" s="226"/>
      <c r="C259" s="23"/>
      <c r="D259" s="226"/>
      <c r="E259" s="226"/>
      <c r="F259" s="226"/>
      <c r="G259" s="227"/>
      <c r="H259" s="227"/>
      <c r="I259" s="227">
        <v>9401</v>
      </c>
      <c r="J259" s="227"/>
      <c r="K259" s="227"/>
      <c r="L259" s="228" t="s">
        <v>40</v>
      </c>
      <c r="M259" s="228"/>
      <c r="N259" s="229"/>
      <c r="O259" s="230">
        <f>+ACC!J24+ACC!J25</f>
        <v>206.13743064447289</v>
      </c>
      <c r="P259" s="231"/>
      <c r="Q259" s="360"/>
      <c r="R259" s="361"/>
    </row>
    <row r="260" spans="1:18" x14ac:dyDescent="0.25">
      <c r="A260" s="22"/>
      <c r="B260" s="226"/>
      <c r="C260" s="23"/>
      <c r="D260" s="226"/>
      <c r="E260" s="226"/>
      <c r="F260" s="226"/>
      <c r="G260" s="227"/>
      <c r="H260" s="227"/>
      <c r="I260" s="227">
        <v>9402</v>
      </c>
      <c r="J260" s="227"/>
      <c r="K260" s="227"/>
      <c r="L260" s="305" t="s">
        <v>258</v>
      </c>
      <c r="M260" s="228"/>
      <c r="N260" s="229"/>
      <c r="O260" s="230">
        <f>+ACC!J28</f>
        <v>1550</v>
      </c>
      <c r="P260" s="231"/>
      <c r="Q260" s="360"/>
      <c r="R260" s="361"/>
    </row>
    <row r="261" spans="1:18" x14ac:dyDescent="0.25">
      <c r="A261" s="22"/>
      <c r="B261" s="226"/>
      <c r="C261" s="23"/>
      <c r="D261" s="226"/>
      <c r="E261" s="226"/>
      <c r="F261" s="226"/>
      <c r="G261" s="227"/>
      <c r="H261" s="227"/>
      <c r="I261" s="227">
        <v>9403</v>
      </c>
      <c r="J261" s="227"/>
      <c r="K261" s="227"/>
      <c r="L261" s="305" t="s">
        <v>259</v>
      </c>
      <c r="M261" s="228"/>
      <c r="N261" s="229"/>
      <c r="O261" s="230">
        <f>+ACC!J29</f>
        <v>140.90909090909091</v>
      </c>
      <c r="P261" s="231"/>
      <c r="Q261" s="360"/>
      <c r="R261" s="361"/>
    </row>
    <row r="262" spans="1:18" x14ac:dyDescent="0.25">
      <c r="A262" s="22"/>
      <c r="B262" s="226"/>
      <c r="C262" s="23"/>
      <c r="D262" s="226"/>
      <c r="E262" s="226"/>
      <c r="F262" s="226"/>
      <c r="G262" s="227"/>
      <c r="H262" s="227"/>
      <c r="I262" s="227">
        <v>9404</v>
      </c>
      <c r="J262" s="227"/>
      <c r="K262" s="227"/>
      <c r="L262" s="305" t="s">
        <v>261</v>
      </c>
      <c r="M262" s="228"/>
      <c r="N262" s="229"/>
      <c r="O262" s="230">
        <f>+ACC!J30</f>
        <v>67.63636363636364</v>
      </c>
      <c r="P262" s="231"/>
      <c r="Q262" s="360"/>
      <c r="R262" s="361"/>
    </row>
    <row r="263" spans="1:18" x14ac:dyDescent="0.25">
      <c r="A263" s="22"/>
      <c r="B263" s="226"/>
      <c r="C263" s="23"/>
      <c r="D263" s="226"/>
      <c r="E263" s="226"/>
      <c r="F263" s="226"/>
      <c r="G263" s="227"/>
      <c r="H263" s="227"/>
      <c r="I263" s="227">
        <v>9405</v>
      </c>
      <c r="J263" s="227"/>
      <c r="K263" s="227"/>
      <c r="L263" s="369" t="s">
        <v>263</v>
      </c>
      <c r="M263" s="228"/>
      <c r="N263" s="229"/>
      <c r="O263" s="230">
        <f>+ACC!J31</f>
        <v>140.90909090909091</v>
      </c>
      <c r="P263" s="231"/>
      <c r="Q263" s="360"/>
      <c r="R263" s="361"/>
    </row>
    <row r="264" spans="1:18" x14ac:dyDescent="0.25">
      <c r="A264" s="22"/>
      <c r="B264" s="24"/>
      <c r="C264" s="23"/>
      <c r="D264" s="24"/>
      <c r="E264" s="24"/>
      <c r="F264" s="24"/>
      <c r="G264" s="33"/>
      <c r="H264" s="33"/>
      <c r="I264" s="227">
        <v>9406</v>
      </c>
      <c r="J264" s="33"/>
      <c r="K264" s="33"/>
      <c r="L264" s="31" t="s">
        <v>372</v>
      </c>
      <c r="M264" s="31"/>
      <c r="N264" s="32"/>
      <c r="O264" s="81">
        <f>+ACC!J42</f>
        <v>18.8</v>
      </c>
      <c r="P264" s="297"/>
      <c r="Q264" s="360"/>
      <c r="R264" s="361"/>
    </row>
    <row r="265" spans="1:18" x14ac:dyDescent="0.25">
      <c r="A265" s="22"/>
      <c r="B265" s="24"/>
      <c r="C265" s="23"/>
      <c r="D265" s="24"/>
      <c r="E265" s="24"/>
      <c r="F265" s="24"/>
      <c r="G265" s="371">
        <v>95</v>
      </c>
      <c r="H265" s="33"/>
      <c r="I265" s="227"/>
      <c r="J265" s="33"/>
      <c r="K265" s="33"/>
      <c r="L265" s="370" t="s">
        <v>377</v>
      </c>
      <c r="M265" s="31"/>
      <c r="N265" s="32"/>
      <c r="O265" s="81"/>
      <c r="P265" s="297"/>
      <c r="Q265" s="360">
        <f>SUM(O266:O272)</f>
        <v>1475.0909090909092</v>
      </c>
      <c r="R265" s="361"/>
    </row>
    <row r="266" spans="1:18" x14ac:dyDescent="0.25">
      <c r="A266" s="22"/>
      <c r="B266" s="24"/>
      <c r="C266" s="23"/>
      <c r="D266" s="24"/>
      <c r="E266" s="24"/>
      <c r="F266" s="24"/>
      <c r="G266" s="33"/>
      <c r="H266" s="33"/>
      <c r="I266" s="33">
        <v>9501</v>
      </c>
      <c r="J266" s="33"/>
      <c r="K266" s="33"/>
      <c r="L266" s="31" t="s">
        <v>47</v>
      </c>
      <c r="M266" s="31"/>
      <c r="N266" s="32"/>
      <c r="O266" s="81">
        <f>+ACC!K15+ACC!K16+ACC!K17+ACC!K18+ACC!K19+ACC!K20+ACC!K21</f>
        <v>1130</v>
      </c>
      <c r="P266" s="297"/>
      <c r="Q266" s="360"/>
      <c r="R266" s="361"/>
    </row>
    <row r="267" spans="1:18" x14ac:dyDescent="0.25">
      <c r="A267" s="22"/>
      <c r="B267" s="24"/>
      <c r="C267" s="23"/>
      <c r="D267" s="24"/>
      <c r="E267" s="24"/>
      <c r="F267" s="24"/>
      <c r="G267" s="33"/>
      <c r="H267" s="33"/>
      <c r="I267" s="33">
        <v>9502</v>
      </c>
      <c r="J267" s="33"/>
      <c r="K267" s="33"/>
      <c r="L267" s="305" t="s">
        <v>258</v>
      </c>
      <c r="M267" s="31"/>
      <c r="N267" s="32"/>
      <c r="O267" s="81">
        <f>+ACC!K28</f>
        <v>200</v>
      </c>
      <c r="P267" s="297"/>
      <c r="Q267" s="360"/>
      <c r="R267" s="361"/>
    </row>
    <row r="268" spans="1:18" x14ac:dyDescent="0.25">
      <c r="A268" s="22"/>
      <c r="B268" s="24"/>
      <c r="C268" s="23"/>
      <c r="D268" s="24"/>
      <c r="E268" s="24"/>
      <c r="F268" s="24"/>
      <c r="G268" s="33"/>
      <c r="H268" s="33"/>
      <c r="I268" s="33">
        <v>9503</v>
      </c>
      <c r="J268" s="33"/>
      <c r="K268" s="33"/>
      <c r="L268" s="305" t="s">
        <v>259</v>
      </c>
      <c r="M268" s="31"/>
      <c r="N268" s="32"/>
      <c r="O268" s="81">
        <f>+ACC!K29</f>
        <v>18.181818181818183</v>
      </c>
      <c r="P268" s="297"/>
      <c r="Q268" s="360"/>
      <c r="R268" s="361"/>
    </row>
    <row r="269" spans="1:18" x14ac:dyDescent="0.25">
      <c r="A269" s="22"/>
      <c r="B269" s="24"/>
      <c r="C269" s="23"/>
      <c r="D269" s="24"/>
      <c r="E269" s="24"/>
      <c r="F269" s="24"/>
      <c r="G269" s="33"/>
      <c r="H269" s="33"/>
      <c r="I269" s="33">
        <v>9504</v>
      </c>
      <c r="J269" s="33"/>
      <c r="K269" s="33"/>
      <c r="L269" s="305" t="s">
        <v>261</v>
      </c>
      <c r="M269" s="31"/>
      <c r="N269" s="32"/>
      <c r="O269" s="81">
        <f>+ACC!K30</f>
        <v>8.7272727272727284</v>
      </c>
      <c r="P269" s="297"/>
      <c r="Q269" s="360"/>
      <c r="R269" s="361"/>
    </row>
    <row r="270" spans="1:18" x14ac:dyDescent="0.25">
      <c r="A270" s="22"/>
      <c r="B270" s="24"/>
      <c r="C270" s="23"/>
      <c r="D270" s="24"/>
      <c r="E270" s="24"/>
      <c r="F270" s="24"/>
      <c r="G270" s="33"/>
      <c r="H270" s="33"/>
      <c r="I270" s="33">
        <v>9505</v>
      </c>
      <c r="J270" s="33"/>
      <c r="K270" s="33"/>
      <c r="L270" s="369" t="s">
        <v>263</v>
      </c>
      <c r="M270" s="31"/>
      <c r="N270" s="32"/>
      <c r="O270" s="81">
        <f>+ACC!K31</f>
        <v>18.181818181818183</v>
      </c>
      <c r="P270" s="297"/>
      <c r="Q270" s="360"/>
      <c r="R270" s="361"/>
    </row>
    <row r="271" spans="1:18" x14ac:dyDescent="0.25">
      <c r="A271" s="22"/>
      <c r="B271" s="24"/>
      <c r="C271" s="23"/>
      <c r="D271" s="24"/>
      <c r="E271" s="24"/>
      <c r="F271" s="24"/>
      <c r="G271" s="33"/>
      <c r="H271" s="33"/>
      <c r="I271" s="33">
        <v>9506</v>
      </c>
      <c r="J271" s="33"/>
      <c r="K271" s="33"/>
      <c r="L271" s="302" t="s">
        <v>265</v>
      </c>
      <c r="M271" s="31"/>
      <c r="N271" s="32"/>
      <c r="O271" s="81">
        <f>+ACC!K34</f>
        <v>50</v>
      </c>
      <c r="P271" s="297"/>
      <c r="Q271" s="360"/>
      <c r="R271" s="361"/>
    </row>
    <row r="272" spans="1:18" x14ac:dyDescent="0.25">
      <c r="A272" s="22"/>
      <c r="B272" s="24"/>
      <c r="C272" s="23"/>
      <c r="D272" s="24"/>
      <c r="E272" s="24"/>
      <c r="F272" s="24"/>
      <c r="G272" s="33"/>
      <c r="H272" s="33"/>
      <c r="I272" s="33">
        <v>9507</v>
      </c>
      <c r="J272" s="33"/>
      <c r="K272" s="33"/>
      <c r="L272" s="303" t="s">
        <v>274</v>
      </c>
      <c r="M272" s="31"/>
      <c r="N272" s="32"/>
      <c r="O272" s="81">
        <f>+ACC!K49</f>
        <v>50</v>
      </c>
      <c r="P272" s="297"/>
      <c r="Q272" s="360"/>
      <c r="R272" s="361"/>
    </row>
    <row r="273" spans="1:18" x14ac:dyDescent="0.25">
      <c r="A273" s="22"/>
      <c r="B273" s="24"/>
      <c r="C273" s="23"/>
      <c r="D273" s="24"/>
      <c r="E273" s="24"/>
      <c r="F273" s="24"/>
      <c r="G273" s="371">
        <v>96</v>
      </c>
      <c r="H273" s="33"/>
      <c r="I273" s="33"/>
      <c r="J273" s="33"/>
      <c r="K273" s="33"/>
      <c r="L273" s="370" t="s">
        <v>242</v>
      </c>
      <c r="M273" s="31"/>
      <c r="N273" s="32"/>
      <c r="O273" s="81"/>
      <c r="P273" s="297"/>
      <c r="Q273" s="360">
        <f>SUM(O274:O282)</f>
        <v>3515.3145966709344</v>
      </c>
      <c r="R273" s="361"/>
    </row>
    <row r="274" spans="1:18" x14ac:dyDescent="0.25">
      <c r="A274" s="22"/>
      <c r="B274" s="24"/>
      <c r="C274" s="23"/>
      <c r="D274" s="24"/>
      <c r="E274" s="24"/>
      <c r="F274" s="24"/>
      <c r="G274" s="33"/>
      <c r="H274" s="33"/>
      <c r="I274" s="33">
        <v>9601</v>
      </c>
      <c r="J274" s="33"/>
      <c r="K274" s="33"/>
      <c r="L274" s="31" t="s">
        <v>40</v>
      </c>
      <c r="M274" s="31"/>
      <c r="N274" s="32"/>
      <c r="O274" s="81">
        <f>+ACC!L24+ACC!L25</f>
        <v>232.7358087921468</v>
      </c>
      <c r="P274" s="297"/>
      <c r="Q274" s="360"/>
      <c r="R274" s="361"/>
    </row>
    <row r="275" spans="1:18" x14ac:dyDescent="0.25">
      <c r="A275" s="22"/>
      <c r="B275" s="24"/>
      <c r="C275" s="23"/>
      <c r="D275" s="24"/>
      <c r="E275" s="24"/>
      <c r="F275" s="24"/>
      <c r="G275" s="33"/>
      <c r="H275" s="33"/>
      <c r="I275" s="33">
        <v>9602</v>
      </c>
      <c r="J275" s="33"/>
      <c r="K275" s="33"/>
      <c r="L275" s="31" t="s">
        <v>116</v>
      </c>
      <c r="M275" s="31"/>
      <c r="N275" s="32"/>
      <c r="O275" s="81">
        <f>+ACC!L27</f>
        <v>250</v>
      </c>
      <c r="P275" s="297"/>
      <c r="Q275" s="360"/>
      <c r="R275" s="361"/>
    </row>
    <row r="276" spans="1:18" x14ac:dyDescent="0.25">
      <c r="A276" s="22"/>
      <c r="B276" s="24"/>
      <c r="C276" s="23"/>
      <c r="D276" s="24"/>
      <c r="E276" s="24"/>
      <c r="F276" s="24"/>
      <c r="G276" s="33"/>
      <c r="H276" s="33"/>
      <c r="I276" s="33">
        <v>9603</v>
      </c>
      <c r="J276" s="33"/>
      <c r="K276" s="33"/>
      <c r="L276" s="305" t="s">
        <v>258</v>
      </c>
      <c r="M276" s="31"/>
      <c r="N276" s="32"/>
      <c r="O276" s="81">
        <f>+ACC!L28</f>
        <v>1750</v>
      </c>
      <c r="P276" s="297"/>
      <c r="Q276" s="360"/>
      <c r="R276" s="361"/>
    </row>
    <row r="277" spans="1:18" x14ac:dyDescent="0.25">
      <c r="A277" s="22"/>
      <c r="B277" s="24"/>
      <c r="C277" s="23"/>
      <c r="D277" s="24"/>
      <c r="E277" s="24"/>
      <c r="F277" s="24"/>
      <c r="G277" s="33"/>
      <c r="H277" s="33"/>
      <c r="I277" s="33">
        <v>9604</v>
      </c>
      <c r="J277" s="33"/>
      <c r="K277" s="33"/>
      <c r="L277" s="305" t="s">
        <v>259</v>
      </c>
      <c r="M277" s="31"/>
      <c r="N277" s="32"/>
      <c r="O277" s="81">
        <f>+ACC!L29</f>
        <v>159.09090909090909</v>
      </c>
      <c r="P277" s="297"/>
      <c r="Q277" s="360"/>
      <c r="R277" s="361"/>
    </row>
    <row r="278" spans="1:18" x14ac:dyDescent="0.25">
      <c r="A278" s="22"/>
      <c r="B278" s="24"/>
      <c r="C278" s="23"/>
      <c r="D278" s="24"/>
      <c r="E278" s="24"/>
      <c r="F278" s="24"/>
      <c r="G278" s="33"/>
      <c r="H278" s="33"/>
      <c r="I278" s="33">
        <v>9605</v>
      </c>
      <c r="J278" s="33"/>
      <c r="K278" s="33"/>
      <c r="L278" s="305" t="s">
        <v>261</v>
      </c>
      <c r="M278" s="31"/>
      <c r="N278" s="32"/>
      <c r="O278" s="81">
        <f>+ACC!L30</f>
        <v>76.36363636363636</v>
      </c>
      <c r="P278" s="297"/>
      <c r="Q278" s="360"/>
      <c r="R278" s="361"/>
    </row>
    <row r="279" spans="1:18" x14ac:dyDescent="0.25">
      <c r="A279" s="22"/>
      <c r="B279" s="24"/>
      <c r="C279" s="23"/>
      <c r="D279" s="24"/>
      <c r="E279" s="24"/>
      <c r="F279" s="24"/>
      <c r="G279" s="33"/>
      <c r="H279" s="33"/>
      <c r="I279" s="33">
        <v>9606</v>
      </c>
      <c r="J279" s="33"/>
      <c r="K279" s="33"/>
      <c r="L279" s="369" t="s">
        <v>263</v>
      </c>
      <c r="M279" s="31"/>
      <c r="N279" s="32"/>
      <c r="O279" s="81">
        <f>+ACC!L31</f>
        <v>159.09090909090909</v>
      </c>
      <c r="P279" s="297"/>
      <c r="Q279" s="360"/>
      <c r="R279" s="361"/>
    </row>
    <row r="280" spans="1:18" x14ac:dyDescent="0.25">
      <c r="A280" s="22"/>
      <c r="B280" s="24"/>
      <c r="C280" s="23"/>
      <c r="D280" s="24"/>
      <c r="E280" s="24"/>
      <c r="F280" s="24"/>
      <c r="G280" s="33"/>
      <c r="H280" s="33"/>
      <c r="I280" s="33">
        <v>9607</v>
      </c>
      <c r="J280" s="33"/>
      <c r="K280" s="33"/>
      <c r="L280" s="372" t="s">
        <v>267</v>
      </c>
      <c r="M280" s="31"/>
      <c r="N280" s="32"/>
      <c r="O280" s="81">
        <f>+ACC!L41</f>
        <v>50</v>
      </c>
      <c r="P280" s="297"/>
      <c r="Q280" s="360"/>
      <c r="R280" s="361"/>
    </row>
    <row r="281" spans="1:18" x14ac:dyDescent="0.25">
      <c r="A281" s="22"/>
      <c r="B281" s="24"/>
      <c r="C281" s="23"/>
      <c r="D281" s="24"/>
      <c r="E281" s="24"/>
      <c r="F281" s="24"/>
      <c r="G281" s="33"/>
      <c r="H281" s="33"/>
      <c r="I281" s="33">
        <v>9608</v>
      </c>
      <c r="J281" s="33"/>
      <c r="K281" s="33"/>
      <c r="L281" s="372" t="s">
        <v>303</v>
      </c>
      <c r="M281" s="31"/>
      <c r="N281" s="32"/>
      <c r="O281" s="81">
        <f>+ACC!L42</f>
        <v>4.7</v>
      </c>
      <c r="P281" s="297"/>
      <c r="Q281" s="360"/>
      <c r="R281" s="361"/>
    </row>
    <row r="282" spans="1:18" x14ac:dyDescent="0.25">
      <c r="A282" s="22"/>
      <c r="B282" s="24"/>
      <c r="C282" s="23"/>
      <c r="D282" s="24"/>
      <c r="E282" s="24"/>
      <c r="F282" s="24"/>
      <c r="G282" s="33"/>
      <c r="H282" s="33"/>
      <c r="I282" s="33">
        <v>9609</v>
      </c>
      <c r="J282" s="33"/>
      <c r="K282" s="33"/>
      <c r="L282" s="31" t="s">
        <v>63</v>
      </c>
      <c r="M282" s="31"/>
      <c r="N282" s="32"/>
      <c r="O282" s="81">
        <f>+ACC!L47</f>
        <v>833.33333333333326</v>
      </c>
      <c r="P282" s="297"/>
      <c r="Q282" s="360"/>
      <c r="R282" s="361"/>
    </row>
    <row r="283" spans="1:18" x14ac:dyDescent="0.25">
      <c r="A283" s="22"/>
      <c r="B283" s="24"/>
      <c r="C283" s="23"/>
      <c r="D283" s="24"/>
      <c r="E283" s="24"/>
      <c r="F283" s="24"/>
      <c r="G283" s="371">
        <v>98</v>
      </c>
      <c r="H283" s="33"/>
      <c r="I283" s="33"/>
      <c r="J283" s="33"/>
      <c r="K283" s="33"/>
      <c r="L283" s="370" t="s">
        <v>379</v>
      </c>
      <c r="M283" s="31"/>
      <c r="N283" s="32"/>
      <c r="O283" s="81"/>
      <c r="P283" s="297"/>
      <c r="Q283" s="360">
        <f>SUM(O284:O289)</f>
        <v>5050.8933333333334</v>
      </c>
      <c r="R283" s="361"/>
    </row>
    <row r="284" spans="1:18" x14ac:dyDescent="0.25">
      <c r="A284" s="22"/>
      <c r="B284" s="24"/>
      <c r="C284" s="23"/>
      <c r="D284" s="24"/>
      <c r="E284" s="24"/>
      <c r="F284" s="24"/>
      <c r="G284" s="33"/>
      <c r="H284" s="33"/>
      <c r="I284" s="33">
        <v>9801</v>
      </c>
      <c r="J284" s="33"/>
      <c r="K284" s="33"/>
      <c r="L284" s="302" t="s">
        <v>264</v>
      </c>
      <c r="M284" s="31"/>
      <c r="N284" s="32"/>
      <c r="O284" s="81">
        <f>+ACC!F32</f>
        <v>150</v>
      </c>
      <c r="P284" s="297"/>
      <c r="Q284" s="360"/>
      <c r="R284" s="361"/>
    </row>
    <row r="285" spans="1:18" x14ac:dyDescent="0.25">
      <c r="A285" s="22"/>
      <c r="B285" s="24"/>
      <c r="C285" s="23"/>
      <c r="D285" s="24"/>
      <c r="E285" s="24"/>
      <c r="F285" s="24"/>
      <c r="G285" s="33"/>
      <c r="H285" s="33"/>
      <c r="I285" s="33">
        <v>9802</v>
      </c>
      <c r="J285" s="33"/>
      <c r="K285" s="33"/>
      <c r="L285" s="212" t="s">
        <v>345</v>
      </c>
      <c r="M285" s="31"/>
      <c r="N285" s="32"/>
      <c r="O285" s="81">
        <f>+ACC!F35</f>
        <v>30</v>
      </c>
      <c r="P285" s="297"/>
      <c r="Q285" s="360"/>
      <c r="R285" s="361"/>
    </row>
    <row r="286" spans="1:18" x14ac:dyDescent="0.25">
      <c r="A286" s="22"/>
      <c r="B286" s="24"/>
      <c r="C286" s="23"/>
      <c r="D286" s="24"/>
      <c r="E286" s="24"/>
      <c r="F286" s="24"/>
      <c r="G286" s="33"/>
      <c r="H286" s="33"/>
      <c r="I286" s="33">
        <v>9803</v>
      </c>
      <c r="J286" s="33"/>
      <c r="K286" s="33"/>
      <c r="L286" s="302" t="s">
        <v>267</v>
      </c>
      <c r="M286" s="31"/>
      <c r="N286" s="32"/>
      <c r="O286" s="81">
        <f>+ACC!F41</f>
        <v>80</v>
      </c>
      <c r="P286" s="297"/>
      <c r="Q286" s="360"/>
      <c r="R286" s="361"/>
    </row>
    <row r="287" spans="1:18" x14ac:dyDescent="0.25">
      <c r="A287" s="22"/>
      <c r="B287" s="24"/>
      <c r="C287" s="23"/>
      <c r="D287" s="24"/>
      <c r="E287" s="24"/>
      <c r="F287" s="24"/>
      <c r="G287" s="33"/>
      <c r="H287" s="33"/>
      <c r="I287" s="33">
        <v>9804</v>
      </c>
      <c r="J287" s="33"/>
      <c r="K287" s="33"/>
      <c r="L287" s="302" t="s">
        <v>269</v>
      </c>
      <c r="M287" s="31"/>
      <c r="N287" s="32"/>
      <c r="O287" s="81">
        <f>+ACC!F43</f>
        <v>1407.56</v>
      </c>
      <c r="P287" s="297"/>
      <c r="Q287" s="360"/>
      <c r="R287" s="361"/>
    </row>
    <row r="288" spans="1:18" x14ac:dyDescent="0.25">
      <c r="A288" s="22"/>
      <c r="B288" s="24"/>
      <c r="C288" s="23"/>
      <c r="D288" s="24"/>
      <c r="E288" s="24"/>
      <c r="F288" s="24"/>
      <c r="G288" s="33"/>
      <c r="H288" s="33"/>
      <c r="I288" s="33">
        <v>9805</v>
      </c>
      <c r="J288" s="33"/>
      <c r="K288" s="33"/>
      <c r="L288" s="302" t="s">
        <v>270</v>
      </c>
      <c r="M288" s="31"/>
      <c r="N288" s="32"/>
      <c r="O288" s="81">
        <f>+ACC!F44</f>
        <v>50</v>
      </c>
      <c r="P288" s="297"/>
      <c r="Q288" s="360"/>
      <c r="R288" s="361"/>
    </row>
    <row r="289" spans="1:18" x14ac:dyDescent="0.25">
      <c r="A289" s="22"/>
      <c r="B289" s="24"/>
      <c r="C289" s="23"/>
      <c r="D289" s="24"/>
      <c r="E289" s="24"/>
      <c r="F289" s="24"/>
      <c r="G289" s="33"/>
      <c r="H289" s="33"/>
      <c r="I289" s="33">
        <v>9806</v>
      </c>
      <c r="J289" s="33"/>
      <c r="K289" s="33"/>
      <c r="L289" s="216" t="s">
        <v>272</v>
      </c>
      <c r="M289" s="31"/>
      <c r="N289" s="32"/>
      <c r="O289" s="81">
        <f>+ACC!F46</f>
        <v>3333.333333333333</v>
      </c>
      <c r="P289" s="297"/>
      <c r="Q289" s="360"/>
      <c r="R289" s="361"/>
    </row>
    <row r="290" spans="1:18" x14ac:dyDescent="0.25">
      <c r="A290" s="22"/>
      <c r="B290" s="24"/>
      <c r="C290" s="23"/>
      <c r="D290" s="24"/>
      <c r="E290" s="24"/>
      <c r="F290" s="24"/>
      <c r="G290" s="371">
        <v>90</v>
      </c>
      <c r="H290" s="33"/>
      <c r="I290" s="33"/>
      <c r="J290" s="33"/>
      <c r="K290" s="33"/>
      <c r="L290" s="370" t="s">
        <v>352</v>
      </c>
      <c r="M290" s="31"/>
      <c r="N290" s="32"/>
      <c r="O290" s="81"/>
      <c r="P290" s="297"/>
      <c r="Q290" s="360"/>
      <c r="R290" s="361">
        <f>SUM(P291:P320)</f>
        <v>19092.904703030301</v>
      </c>
    </row>
    <row r="291" spans="1:18" x14ac:dyDescent="0.25">
      <c r="A291" s="22"/>
      <c r="B291" s="24"/>
      <c r="C291" s="23"/>
      <c r="D291" s="24"/>
      <c r="E291" s="24"/>
      <c r="F291" s="24"/>
      <c r="G291" s="33"/>
      <c r="H291" s="33"/>
      <c r="I291" s="33">
        <v>9001</v>
      </c>
      <c r="J291" s="33"/>
      <c r="K291" s="33"/>
      <c r="L291" s="31" t="s">
        <v>342</v>
      </c>
      <c r="M291" s="31"/>
      <c r="N291" s="32"/>
      <c r="O291" s="81"/>
      <c r="P291" s="297">
        <v>1200</v>
      </c>
      <c r="Q291" s="360"/>
      <c r="R291" s="361"/>
    </row>
    <row r="292" spans="1:18" x14ac:dyDescent="0.25">
      <c r="A292" s="22"/>
      <c r="B292" s="24"/>
      <c r="C292" s="23"/>
      <c r="D292" s="24"/>
      <c r="E292" s="24"/>
      <c r="F292" s="24"/>
      <c r="G292" s="33"/>
      <c r="H292" s="33"/>
      <c r="I292" s="33">
        <v>9002</v>
      </c>
      <c r="J292" s="33"/>
      <c r="K292" s="33"/>
      <c r="L292" s="31" t="s">
        <v>353</v>
      </c>
      <c r="M292" s="31"/>
      <c r="N292" s="32"/>
      <c r="O292" s="81"/>
      <c r="P292" s="297">
        <v>5503.6</v>
      </c>
      <c r="Q292" s="360"/>
      <c r="R292" s="361"/>
    </row>
    <row r="293" spans="1:18" x14ac:dyDescent="0.25">
      <c r="A293" s="22"/>
      <c r="B293" s="24"/>
      <c r="C293" s="23"/>
      <c r="D293" s="24"/>
      <c r="E293" s="24"/>
      <c r="F293" s="24"/>
      <c r="G293" s="33"/>
      <c r="H293" s="33"/>
      <c r="I293" s="33"/>
      <c r="J293" s="33"/>
      <c r="K293" s="33"/>
      <c r="L293" s="31" t="s">
        <v>40</v>
      </c>
      <c r="M293" s="31"/>
      <c r="N293" s="32"/>
      <c r="O293" s="81">
        <v>5503.6</v>
      </c>
      <c r="P293" s="297"/>
      <c r="Q293" s="360"/>
      <c r="R293" s="361"/>
    </row>
    <row r="294" spans="1:18" x14ac:dyDescent="0.25">
      <c r="A294" s="22"/>
      <c r="B294" s="24"/>
      <c r="C294" s="23"/>
      <c r="D294" s="24"/>
      <c r="E294" s="24"/>
      <c r="F294" s="24"/>
      <c r="G294" s="33"/>
      <c r="H294" s="33"/>
      <c r="I294" s="33"/>
      <c r="J294" s="33"/>
      <c r="K294" s="33"/>
      <c r="L294" s="31" t="s">
        <v>244</v>
      </c>
      <c r="M294" s="31"/>
      <c r="N294" s="32">
        <v>3663.6</v>
      </c>
      <c r="O294" s="81"/>
      <c r="P294" s="297"/>
      <c r="Q294" s="360"/>
      <c r="R294" s="361"/>
    </row>
    <row r="295" spans="1:18" x14ac:dyDescent="0.25">
      <c r="A295" s="22"/>
      <c r="B295" s="24"/>
      <c r="C295" s="23"/>
      <c r="D295" s="24"/>
      <c r="E295" s="24"/>
      <c r="F295" s="24"/>
      <c r="G295" s="33"/>
      <c r="H295" s="33"/>
      <c r="I295" s="33"/>
      <c r="J295" s="33"/>
      <c r="K295" s="33"/>
      <c r="L295" s="31" t="s">
        <v>249</v>
      </c>
      <c r="M295" s="31"/>
      <c r="N295" s="32">
        <v>1130</v>
      </c>
      <c r="O295" s="81"/>
      <c r="P295" s="297"/>
      <c r="Q295" s="360"/>
      <c r="R295" s="361"/>
    </row>
    <row r="296" spans="1:18" x14ac:dyDescent="0.25">
      <c r="A296" s="22"/>
      <c r="B296" s="24"/>
      <c r="C296" s="23"/>
      <c r="D296" s="24"/>
      <c r="E296" s="24"/>
      <c r="F296" s="24"/>
      <c r="G296" s="33"/>
      <c r="H296" s="33"/>
      <c r="I296" s="33"/>
      <c r="J296" s="33"/>
      <c r="K296" s="33"/>
      <c r="L296" s="31" t="s">
        <v>251</v>
      </c>
      <c r="M296" s="31"/>
      <c r="N296" s="32">
        <v>710</v>
      </c>
      <c r="O296" s="81"/>
      <c r="P296" s="297"/>
      <c r="Q296" s="360"/>
      <c r="R296" s="361"/>
    </row>
    <row r="297" spans="1:18" x14ac:dyDescent="0.25">
      <c r="A297" s="22"/>
      <c r="B297" s="24"/>
      <c r="C297" s="23"/>
      <c r="D297" s="24"/>
      <c r="E297" s="24"/>
      <c r="F297" s="24"/>
      <c r="G297" s="33"/>
      <c r="H297" s="33"/>
      <c r="I297" s="33">
        <v>9003</v>
      </c>
      <c r="J297" s="33"/>
      <c r="K297" s="33"/>
      <c r="L297" s="31" t="s">
        <v>116</v>
      </c>
      <c r="M297" s="31"/>
      <c r="N297" s="32"/>
      <c r="O297" s="81"/>
      <c r="P297" s="297">
        <v>250</v>
      </c>
      <c r="Q297" s="360"/>
      <c r="R297" s="361"/>
    </row>
    <row r="298" spans="1:18" x14ac:dyDescent="0.25">
      <c r="A298" s="22"/>
      <c r="B298" s="24"/>
      <c r="C298" s="23"/>
      <c r="D298" s="24"/>
      <c r="E298" s="24"/>
      <c r="F298" s="24"/>
      <c r="G298" s="33"/>
      <c r="H298" s="33"/>
      <c r="I298" s="33"/>
      <c r="J298" s="33"/>
      <c r="K298" s="33"/>
      <c r="L298" s="31" t="s">
        <v>257</v>
      </c>
      <c r="M298" s="31"/>
      <c r="N298" s="32"/>
      <c r="O298" s="81">
        <v>250</v>
      </c>
      <c r="P298" s="297"/>
      <c r="Q298" s="360"/>
      <c r="R298" s="361"/>
    </row>
    <row r="299" spans="1:18" x14ac:dyDescent="0.25">
      <c r="A299" s="22"/>
      <c r="B299" s="24"/>
      <c r="C299" s="23"/>
      <c r="D299" s="24"/>
      <c r="E299" s="24"/>
      <c r="F299" s="24"/>
      <c r="G299" s="33"/>
      <c r="H299" s="33"/>
      <c r="I299" s="33">
        <v>9004</v>
      </c>
      <c r="J299" s="33"/>
      <c r="K299" s="33"/>
      <c r="L299" s="31" t="s">
        <v>354</v>
      </c>
      <c r="M299" s="31"/>
      <c r="N299" s="32"/>
      <c r="O299" s="81"/>
      <c r="P299" s="297">
        <v>5208.1780363636353</v>
      </c>
      <c r="Q299" s="360"/>
      <c r="R299" s="361"/>
    </row>
    <row r="300" spans="1:18" x14ac:dyDescent="0.25">
      <c r="A300" s="22"/>
      <c r="B300" s="24"/>
      <c r="C300" s="23"/>
      <c r="D300" s="24"/>
      <c r="E300" s="24"/>
      <c r="F300" s="24"/>
      <c r="G300" s="33"/>
      <c r="H300" s="33"/>
      <c r="I300" s="33"/>
      <c r="J300" s="33"/>
      <c r="K300" s="33"/>
      <c r="L300" s="31" t="s">
        <v>258</v>
      </c>
      <c r="M300" s="31"/>
      <c r="N300" s="32"/>
      <c r="O300" s="81">
        <v>4250</v>
      </c>
      <c r="P300" s="297"/>
      <c r="Q300" s="360"/>
      <c r="R300" s="361"/>
    </row>
    <row r="301" spans="1:18" x14ac:dyDescent="0.25">
      <c r="A301" s="22"/>
      <c r="B301" s="24"/>
      <c r="C301" s="23"/>
      <c r="D301" s="24"/>
      <c r="E301" s="24"/>
      <c r="F301" s="24"/>
      <c r="G301" s="33"/>
      <c r="H301" s="33"/>
      <c r="I301" s="33"/>
      <c r="J301" s="33"/>
      <c r="K301" s="33"/>
      <c r="L301" s="31" t="s">
        <v>259</v>
      </c>
      <c r="M301" s="31"/>
      <c r="N301" s="32"/>
      <c r="O301" s="81">
        <v>386.36</v>
      </c>
      <c r="P301" s="297"/>
      <c r="Q301" s="360"/>
      <c r="R301" s="361"/>
    </row>
    <row r="302" spans="1:18" x14ac:dyDescent="0.25">
      <c r="A302" s="22"/>
      <c r="B302" s="24"/>
      <c r="C302" s="23"/>
      <c r="D302" s="24"/>
      <c r="E302" s="24"/>
      <c r="F302" s="24"/>
      <c r="G302" s="33"/>
      <c r="H302" s="33"/>
      <c r="I302" s="33"/>
      <c r="J302" s="33"/>
      <c r="K302" s="33"/>
      <c r="L302" s="31" t="s">
        <v>261</v>
      </c>
      <c r="M302" s="31"/>
      <c r="N302" s="32"/>
      <c r="O302" s="81">
        <v>185.45439999999999</v>
      </c>
      <c r="P302" s="297"/>
      <c r="Q302" s="360"/>
      <c r="R302" s="361"/>
    </row>
    <row r="303" spans="1:18" x14ac:dyDescent="0.25">
      <c r="A303" s="22"/>
      <c r="B303" s="24"/>
      <c r="C303" s="23"/>
      <c r="D303" s="24"/>
      <c r="E303" s="24"/>
      <c r="F303" s="24"/>
      <c r="G303" s="33"/>
      <c r="H303" s="33"/>
      <c r="I303" s="33"/>
      <c r="J303" s="33"/>
      <c r="K303" s="33"/>
      <c r="L303" s="31" t="s">
        <v>263</v>
      </c>
      <c r="M303" s="31"/>
      <c r="N303" s="32"/>
      <c r="O303" s="81">
        <v>386.36363636363637</v>
      </c>
      <c r="P303" s="297"/>
      <c r="Q303" s="360"/>
      <c r="R303" s="361"/>
    </row>
    <row r="304" spans="1:18" x14ac:dyDescent="0.25">
      <c r="A304" s="22"/>
      <c r="B304" s="24"/>
      <c r="C304" s="23"/>
      <c r="D304" s="24"/>
      <c r="E304" s="24"/>
      <c r="F304" s="24"/>
      <c r="G304" s="33"/>
      <c r="H304" s="33"/>
      <c r="I304" s="33">
        <v>9005</v>
      </c>
      <c r="J304" s="33"/>
      <c r="K304" s="33"/>
      <c r="L304" s="31" t="s">
        <v>355</v>
      </c>
      <c r="M304" s="31"/>
      <c r="N304" s="32"/>
      <c r="O304" s="81"/>
      <c r="P304" s="297">
        <v>1224</v>
      </c>
      <c r="Q304" s="360"/>
      <c r="R304" s="361"/>
    </row>
    <row r="305" spans="1:18" x14ac:dyDescent="0.25">
      <c r="A305" s="22"/>
      <c r="B305" s="24"/>
      <c r="C305" s="23"/>
      <c r="D305" s="24"/>
      <c r="E305" s="24"/>
      <c r="F305" s="24"/>
      <c r="G305" s="33"/>
      <c r="H305" s="33"/>
      <c r="I305" s="33"/>
      <c r="J305" s="33"/>
      <c r="K305" s="33"/>
      <c r="L305" s="31" t="s">
        <v>356</v>
      </c>
      <c r="M305" s="31"/>
      <c r="N305" s="32"/>
      <c r="O305" s="81">
        <v>150</v>
      </c>
      <c r="P305" s="297"/>
      <c r="Q305" s="360"/>
      <c r="R305" s="361"/>
    </row>
    <row r="306" spans="1:18" x14ac:dyDescent="0.25">
      <c r="A306" s="22"/>
      <c r="B306" s="24"/>
      <c r="C306" s="23"/>
      <c r="D306" s="24"/>
      <c r="E306" s="24"/>
      <c r="F306" s="24"/>
      <c r="G306" s="33"/>
      <c r="H306" s="33"/>
      <c r="I306" s="33"/>
      <c r="J306" s="33"/>
      <c r="K306" s="33"/>
      <c r="L306" s="31" t="s">
        <v>357</v>
      </c>
      <c r="M306" s="31"/>
      <c r="N306" s="32"/>
      <c r="O306" s="81">
        <v>80</v>
      </c>
      <c r="P306" s="297"/>
      <c r="Q306" s="360"/>
      <c r="R306" s="361"/>
    </row>
    <row r="307" spans="1:18" x14ac:dyDescent="0.25">
      <c r="A307" s="22"/>
      <c r="B307" s="24"/>
      <c r="C307" s="23"/>
      <c r="D307" s="24"/>
      <c r="E307" s="24"/>
      <c r="F307" s="24"/>
      <c r="G307" s="33"/>
      <c r="H307" s="33"/>
      <c r="I307" s="33"/>
      <c r="J307" s="33"/>
      <c r="K307" s="33"/>
      <c r="L307" s="31" t="s">
        <v>362</v>
      </c>
      <c r="M307" s="31"/>
      <c r="N307" s="32">
        <v>50</v>
      </c>
      <c r="O307" s="81"/>
      <c r="P307" s="297"/>
      <c r="Q307" s="360"/>
      <c r="R307" s="361"/>
    </row>
    <row r="308" spans="1:18" x14ac:dyDescent="0.25">
      <c r="A308" s="22"/>
      <c r="B308" s="24"/>
      <c r="C308" s="23"/>
      <c r="D308" s="24"/>
      <c r="E308" s="24"/>
      <c r="F308" s="24"/>
      <c r="G308" s="33"/>
      <c r="H308" s="33"/>
      <c r="I308" s="33"/>
      <c r="J308" s="33"/>
      <c r="K308" s="33"/>
      <c r="L308" s="31" t="s">
        <v>363</v>
      </c>
      <c r="M308" s="31"/>
      <c r="N308" s="32">
        <v>30</v>
      </c>
      <c r="O308" s="81"/>
      <c r="P308" s="297"/>
      <c r="Q308" s="360"/>
      <c r="R308" s="361"/>
    </row>
    <row r="309" spans="1:18" x14ac:dyDescent="0.25">
      <c r="A309" s="22"/>
      <c r="B309" s="24"/>
      <c r="C309" s="23"/>
      <c r="D309" s="24"/>
      <c r="E309" s="24"/>
      <c r="F309" s="24"/>
      <c r="G309" s="33"/>
      <c r="H309" s="33"/>
      <c r="I309" s="33"/>
      <c r="J309" s="33"/>
      <c r="K309" s="33"/>
      <c r="L309" s="31" t="s">
        <v>364</v>
      </c>
      <c r="M309" s="31"/>
      <c r="N309" s="32"/>
      <c r="O309" s="81">
        <v>864</v>
      </c>
      <c r="P309" s="297"/>
      <c r="Q309" s="360"/>
      <c r="R309" s="361"/>
    </row>
    <row r="310" spans="1:18" x14ac:dyDescent="0.25">
      <c r="A310" s="22"/>
      <c r="B310" s="24"/>
      <c r="C310" s="23"/>
      <c r="D310" s="24"/>
      <c r="E310" s="24"/>
      <c r="F310" s="24"/>
      <c r="G310" s="33"/>
      <c r="H310" s="33"/>
      <c r="I310" s="33"/>
      <c r="J310" s="33"/>
      <c r="K310" s="33"/>
      <c r="L310" s="31" t="s">
        <v>358</v>
      </c>
      <c r="M310" s="31"/>
      <c r="N310" s="32">
        <v>324</v>
      </c>
      <c r="O310" s="81"/>
      <c r="P310" s="297"/>
      <c r="Q310" s="360"/>
      <c r="R310" s="361"/>
    </row>
    <row r="311" spans="1:18" x14ac:dyDescent="0.25">
      <c r="A311" s="22"/>
      <c r="B311" s="24"/>
      <c r="C311" s="23"/>
      <c r="D311" s="24"/>
      <c r="E311" s="24"/>
      <c r="F311" s="24"/>
      <c r="G311" s="33"/>
      <c r="H311" s="33"/>
      <c r="I311" s="33"/>
      <c r="J311" s="33"/>
      <c r="K311" s="33"/>
      <c r="L311" s="31" t="s">
        <v>359</v>
      </c>
      <c r="M311" s="31"/>
      <c r="N311" s="32">
        <v>216</v>
      </c>
      <c r="O311" s="81"/>
      <c r="P311" s="297"/>
      <c r="Q311" s="360"/>
      <c r="R311" s="361"/>
    </row>
    <row r="312" spans="1:18" x14ac:dyDescent="0.25">
      <c r="A312" s="22"/>
      <c r="B312" s="24"/>
      <c r="C312" s="23"/>
      <c r="D312" s="24"/>
      <c r="E312" s="24"/>
      <c r="F312" s="24"/>
      <c r="G312" s="33"/>
      <c r="H312" s="33"/>
      <c r="I312" s="33"/>
      <c r="J312" s="33"/>
      <c r="K312" s="33"/>
      <c r="L312" s="31" t="s">
        <v>360</v>
      </c>
      <c r="M312" s="31"/>
      <c r="N312" s="32">
        <v>108</v>
      </c>
      <c r="O312" s="81"/>
      <c r="P312" s="297"/>
      <c r="Q312" s="360"/>
      <c r="R312" s="361"/>
    </row>
    <row r="313" spans="1:18" x14ac:dyDescent="0.25">
      <c r="A313" s="22"/>
      <c r="B313" s="24"/>
      <c r="C313" s="23"/>
      <c r="D313" s="24"/>
      <c r="E313" s="24"/>
      <c r="F313" s="24"/>
      <c r="G313" s="33"/>
      <c r="H313" s="33"/>
      <c r="I313" s="33"/>
      <c r="J313" s="33"/>
      <c r="K313" s="33"/>
      <c r="L313" s="31" t="s">
        <v>361</v>
      </c>
      <c r="M313" s="31"/>
      <c r="N313" s="32">
        <v>216</v>
      </c>
      <c r="O313" s="81"/>
      <c r="P313" s="297"/>
      <c r="Q313" s="360"/>
      <c r="R313" s="361"/>
    </row>
    <row r="314" spans="1:18" x14ac:dyDescent="0.25">
      <c r="A314" s="22"/>
      <c r="B314" s="24"/>
      <c r="C314" s="23"/>
      <c r="D314" s="24"/>
      <c r="E314" s="24"/>
      <c r="F314" s="24"/>
      <c r="G314" s="33"/>
      <c r="H314" s="33"/>
      <c r="I314" s="33"/>
      <c r="J314" s="33"/>
      <c r="K314" s="33"/>
      <c r="L314" s="31" t="s">
        <v>201</v>
      </c>
      <c r="M314" s="31"/>
      <c r="N314" s="32"/>
      <c r="O314" s="81">
        <v>130</v>
      </c>
      <c r="P314" s="297"/>
      <c r="Q314" s="360"/>
      <c r="R314" s="361"/>
    </row>
    <row r="315" spans="1:18" x14ac:dyDescent="0.25">
      <c r="A315" s="22"/>
      <c r="B315" s="24"/>
      <c r="C315" s="23"/>
      <c r="D315" s="24"/>
      <c r="E315" s="24"/>
      <c r="F315" s="24"/>
      <c r="G315" s="33"/>
      <c r="H315" s="33"/>
      <c r="I315" s="33">
        <v>9006</v>
      </c>
      <c r="J315" s="33"/>
      <c r="K315" s="33"/>
      <c r="L315" s="31" t="s">
        <v>365</v>
      </c>
      <c r="M315" s="31"/>
      <c r="N315" s="32"/>
      <c r="O315" s="81"/>
      <c r="P315" s="297">
        <v>32.9</v>
      </c>
      <c r="Q315" s="360"/>
      <c r="R315" s="361"/>
    </row>
    <row r="316" spans="1:18" x14ac:dyDescent="0.25">
      <c r="A316" s="22"/>
      <c r="B316" s="24"/>
      <c r="C316" s="23"/>
      <c r="D316" s="24"/>
      <c r="E316" s="24"/>
      <c r="F316" s="24"/>
      <c r="G316" s="33"/>
      <c r="H316" s="33"/>
      <c r="I316" s="33"/>
      <c r="J316" s="33"/>
      <c r="K316" s="33"/>
      <c r="L316" s="31" t="s">
        <v>366</v>
      </c>
      <c r="M316" s="31"/>
      <c r="N316" s="32"/>
      <c r="O316" s="81">
        <v>32.9</v>
      </c>
      <c r="P316" s="297"/>
      <c r="Q316" s="360"/>
      <c r="R316" s="361"/>
    </row>
    <row r="317" spans="1:18" x14ac:dyDescent="0.25">
      <c r="A317" s="22"/>
      <c r="B317" s="24"/>
      <c r="C317" s="23"/>
      <c r="D317" s="24"/>
      <c r="E317" s="24"/>
      <c r="F317" s="24"/>
      <c r="G317" s="33"/>
      <c r="H317" s="33"/>
      <c r="I317" s="33">
        <v>9007</v>
      </c>
      <c r="J317" s="33"/>
      <c r="K317" s="33"/>
      <c r="L317" s="31" t="s">
        <v>91</v>
      </c>
      <c r="M317" s="31"/>
      <c r="N317" s="32"/>
      <c r="O317" s="81"/>
      <c r="P317" s="297">
        <v>1457.56</v>
      </c>
      <c r="Q317" s="360"/>
      <c r="R317" s="361"/>
    </row>
    <row r="318" spans="1:18" x14ac:dyDescent="0.25">
      <c r="A318" s="22"/>
      <c r="B318" s="24"/>
      <c r="C318" s="23"/>
      <c r="D318" s="24"/>
      <c r="E318" s="24"/>
      <c r="F318" s="24"/>
      <c r="G318" s="33"/>
      <c r="H318" s="33"/>
      <c r="I318" s="33"/>
      <c r="J318" s="33"/>
      <c r="K318" s="33"/>
      <c r="L318" s="31" t="s">
        <v>269</v>
      </c>
      <c r="M318" s="31"/>
      <c r="N318" s="32"/>
      <c r="O318" s="81">
        <v>1407.56</v>
      </c>
      <c r="P318" s="297"/>
      <c r="Q318" s="360"/>
      <c r="R318" s="361"/>
    </row>
    <row r="319" spans="1:18" x14ac:dyDescent="0.25">
      <c r="A319" s="22"/>
      <c r="B319" s="24"/>
      <c r="C319" s="23"/>
      <c r="D319" s="24"/>
      <c r="E319" s="24"/>
      <c r="F319" s="24"/>
      <c r="G319" s="33"/>
      <c r="H319" s="33"/>
      <c r="I319" s="33"/>
      <c r="J319" s="33"/>
      <c r="K319" s="33"/>
      <c r="L319" s="31" t="s">
        <v>270</v>
      </c>
      <c r="M319" s="31"/>
      <c r="N319" s="32"/>
      <c r="O319" s="81">
        <v>50</v>
      </c>
      <c r="P319" s="297"/>
      <c r="Q319" s="360"/>
      <c r="R319" s="361"/>
    </row>
    <row r="320" spans="1:18" x14ac:dyDescent="0.25">
      <c r="A320" s="22"/>
      <c r="B320" s="24"/>
      <c r="C320" s="23"/>
      <c r="D320" s="24"/>
      <c r="E320" s="24"/>
      <c r="F320" s="24"/>
      <c r="G320" s="33"/>
      <c r="H320" s="33"/>
      <c r="I320" s="33">
        <v>9008</v>
      </c>
      <c r="J320" s="33"/>
      <c r="K320" s="33"/>
      <c r="L320" s="31" t="s">
        <v>280</v>
      </c>
      <c r="M320" s="31"/>
      <c r="N320" s="32"/>
      <c r="O320" s="81"/>
      <c r="P320" s="297">
        <v>4216.6666666666661</v>
      </c>
      <c r="Q320" s="360"/>
      <c r="R320" s="361"/>
    </row>
    <row r="321" spans="1:18" x14ac:dyDescent="0.25">
      <c r="A321" s="22"/>
      <c r="B321" s="24"/>
      <c r="C321" s="23"/>
      <c r="D321" s="24"/>
      <c r="E321" s="24"/>
      <c r="F321" s="24"/>
      <c r="G321" s="33"/>
      <c r="H321" s="33"/>
      <c r="I321" s="33"/>
      <c r="J321" s="33"/>
      <c r="K321" s="33"/>
      <c r="L321" s="31" t="s">
        <v>61</v>
      </c>
      <c r="M321" s="31"/>
      <c r="N321" s="32"/>
      <c r="O321" s="81">
        <v>4166.6666666666661</v>
      </c>
      <c r="P321" s="297"/>
      <c r="Q321" s="360"/>
      <c r="R321" s="361"/>
    </row>
    <row r="322" spans="1:18" x14ac:dyDescent="0.25">
      <c r="A322" s="22"/>
      <c r="B322" s="24"/>
      <c r="C322" s="23"/>
      <c r="D322" s="24"/>
      <c r="E322" s="24"/>
      <c r="F322" s="24"/>
      <c r="G322" s="33"/>
      <c r="H322" s="33"/>
      <c r="I322" s="33"/>
      <c r="J322" s="33"/>
      <c r="K322" s="33"/>
      <c r="L322" s="31" t="s">
        <v>272</v>
      </c>
      <c r="M322" s="31"/>
      <c r="N322" s="32">
        <v>3333.333333333333</v>
      </c>
      <c r="O322" s="81"/>
      <c r="P322" s="297"/>
      <c r="Q322" s="360"/>
      <c r="R322" s="361"/>
    </row>
    <row r="323" spans="1:18" x14ac:dyDescent="0.25">
      <c r="A323" s="22"/>
      <c r="B323" s="24"/>
      <c r="C323" s="23"/>
      <c r="D323" s="24"/>
      <c r="E323" s="24"/>
      <c r="F323" s="24"/>
      <c r="G323" s="33"/>
      <c r="H323" s="33"/>
      <c r="I323" s="33"/>
      <c r="J323" s="33"/>
      <c r="K323" s="33"/>
      <c r="L323" s="31" t="s">
        <v>273</v>
      </c>
      <c r="M323" s="31"/>
      <c r="N323" s="32">
        <v>833.33333333333326</v>
      </c>
      <c r="O323" s="81"/>
      <c r="P323" s="297"/>
      <c r="Q323" s="360"/>
      <c r="R323" s="361"/>
    </row>
    <row r="324" spans="1:18" x14ac:dyDescent="0.25">
      <c r="A324" s="22"/>
      <c r="B324" s="24"/>
      <c r="C324" s="23"/>
      <c r="D324" s="24"/>
      <c r="E324" s="24"/>
      <c r="F324" s="24"/>
      <c r="G324" s="33"/>
      <c r="H324" s="33"/>
      <c r="I324" s="33"/>
      <c r="J324" s="33"/>
      <c r="K324" s="33"/>
      <c r="L324" s="31" t="s">
        <v>367</v>
      </c>
      <c r="M324" s="31"/>
      <c r="N324" s="32"/>
      <c r="O324" s="81">
        <v>50</v>
      </c>
      <c r="P324" s="297"/>
      <c r="Q324" s="360"/>
      <c r="R324" s="361"/>
    </row>
    <row r="325" spans="1:18" x14ac:dyDescent="0.25">
      <c r="A325" s="22"/>
      <c r="B325" s="24"/>
      <c r="C325" s="23"/>
      <c r="D325" s="24"/>
      <c r="E325" s="24"/>
      <c r="F325" s="24"/>
      <c r="G325" s="33"/>
      <c r="H325" s="33"/>
      <c r="I325" s="33"/>
      <c r="J325" s="33"/>
      <c r="K325" s="33"/>
      <c r="L325" s="31" t="s">
        <v>275</v>
      </c>
      <c r="M325" s="31"/>
      <c r="N325" s="32">
        <v>50</v>
      </c>
      <c r="O325" s="81"/>
      <c r="P325" s="297"/>
      <c r="Q325" s="360"/>
      <c r="R325" s="361"/>
    </row>
    <row r="326" spans="1:18" x14ac:dyDescent="0.25">
      <c r="A326" s="22"/>
      <c r="B326" s="24"/>
      <c r="C326" s="23"/>
      <c r="D326" s="24"/>
      <c r="E326" s="24"/>
      <c r="F326" s="24"/>
      <c r="G326" s="33"/>
      <c r="H326" s="33"/>
      <c r="I326" s="33"/>
      <c r="J326" s="33"/>
      <c r="K326" s="33"/>
      <c r="L326" s="374" t="s">
        <v>381</v>
      </c>
      <c r="M326" s="31"/>
      <c r="N326" s="32"/>
      <c r="O326" s="81"/>
      <c r="P326" s="297"/>
      <c r="Q326" s="360"/>
      <c r="R326" s="361"/>
    </row>
    <row r="327" spans="1:18" x14ac:dyDescent="0.25">
      <c r="A327" s="22"/>
      <c r="B327" s="24"/>
      <c r="C327" s="23"/>
      <c r="D327" s="24"/>
      <c r="E327" s="24"/>
      <c r="F327" s="24"/>
      <c r="G327" s="33"/>
      <c r="H327" s="33"/>
      <c r="I327" s="33"/>
      <c r="J327" s="33"/>
      <c r="K327" s="33"/>
      <c r="L327" s="373" t="s">
        <v>380</v>
      </c>
      <c r="M327" s="31"/>
      <c r="N327" s="32"/>
      <c r="O327" s="81"/>
      <c r="P327" s="297"/>
      <c r="Q327" s="360"/>
      <c r="R327" s="361"/>
    </row>
    <row r="328" spans="1:18" x14ac:dyDescent="0.25">
      <c r="A328" s="22"/>
      <c r="B328" s="24"/>
      <c r="C328" s="23"/>
      <c r="D328" s="24"/>
      <c r="E328" s="24"/>
      <c r="F328" s="24"/>
      <c r="G328" s="371">
        <v>97</v>
      </c>
      <c r="H328" s="33"/>
      <c r="I328" s="33"/>
      <c r="J328" s="33"/>
      <c r="K328" s="33"/>
      <c r="L328" s="370" t="s">
        <v>382</v>
      </c>
      <c r="M328" s="31"/>
      <c r="N328" s="32"/>
      <c r="O328" s="81"/>
      <c r="P328" s="297"/>
      <c r="Q328" s="360">
        <f>+ACC!E53</f>
        <v>14042.011369696971</v>
      </c>
      <c r="R328" s="361"/>
    </row>
    <row r="329" spans="1:18" x14ac:dyDescent="0.25">
      <c r="A329" s="22"/>
      <c r="B329" s="24"/>
      <c r="C329" s="23"/>
      <c r="D329" s="24"/>
      <c r="E329" s="24"/>
      <c r="F329" s="24"/>
      <c r="G329" s="33"/>
      <c r="H329" s="33">
        <v>9701</v>
      </c>
      <c r="I329" s="33"/>
      <c r="J329" s="33"/>
      <c r="K329" s="33"/>
      <c r="L329" s="31" t="s">
        <v>374</v>
      </c>
      <c r="M329" s="31"/>
      <c r="N329" s="32"/>
      <c r="O329" s="81"/>
      <c r="P329" s="297">
        <f>+ACC!E7</f>
        <v>1200</v>
      </c>
      <c r="Q329" s="360"/>
      <c r="R329" s="361"/>
    </row>
    <row r="330" spans="1:18" x14ac:dyDescent="0.25">
      <c r="A330" s="22"/>
      <c r="B330" s="24"/>
      <c r="C330" s="23"/>
      <c r="D330" s="24"/>
      <c r="E330" s="24"/>
      <c r="F330" s="24"/>
      <c r="G330" s="33"/>
      <c r="H330" s="33">
        <v>9702</v>
      </c>
      <c r="I330" s="33"/>
      <c r="J330" s="33"/>
      <c r="K330" s="33"/>
      <c r="L330" s="31" t="s">
        <v>383</v>
      </c>
      <c r="M330" s="31"/>
      <c r="N330" s="32"/>
      <c r="O330" s="81"/>
      <c r="P330" s="297">
        <f>+ACC!E28</f>
        <v>4250</v>
      </c>
      <c r="Q330" s="360"/>
      <c r="R330" s="361"/>
    </row>
    <row r="331" spans="1:18" x14ac:dyDescent="0.25">
      <c r="A331" s="22"/>
      <c r="B331" s="24"/>
      <c r="C331" s="23"/>
      <c r="D331" s="24"/>
      <c r="E331" s="24"/>
      <c r="F331" s="24"/>
      <c r="G331" s="33"/>
      <c r="H331" s="33">
        <v>9703</v>
      </c>
      <c r="I331" s="33"/>
      <c r="J331" s="33"/>
      <c r="K331" s="33"/>
      <c r="L331" s="31" t="s">
        <v>384</v>
      </c>
      <c r="M331" s="31"/>
      <c r="N331" s="32"/>
      <c r="O331" s="81"/>
      <c r="P331" s="297">
        <f>(Q328-(P329+P330))</f>
        <v>8592.0113696969711</v>
      </c>
      <c r="Q331" s="360"/>
      <c r="R331" s="361"/>
    </row>
    <row r="332" spans="1:18" x14ac:dyDescent="0.25">
      <c r="A332" s="22"/>
      <c r="B332" s="24"/>
      <c r="C332" s="23"/>
      <c r="D332" s="24"/>
      <c r="E332" s="24"/>
      <c r="F332" s="24"/>
      <c r="G332" s="33">
        <v>91</v>
      </c>
      <c r="H332" s="33"/>
      <c r="I332" s="33"/>
      <c r="J332" s="33"/>
      <c r="K332" s="33"/>
      <c r="L332" s="31" t="s">
        <v>373</v>
      </c>
      <c r="M332" s="31"/>
      <c r="N332" s="32"/>
      <c r="O332" s="81"/>
      <c r="P332" s="297"/>
      <c r="Q332" s="360"/>
      <c r="R332" s="361">
        <f>SUM(O333:O339)</f>
        <v>1279.52373026035</v>
      </c>
    </row>
    <row r="333" spans="1:18" x14ac:dyDescent="0.25">
      <c r="A333" s="22"/>
      <c r="B333" s="24"/>
      <c r="C333" s="23"/>
      <c r="D333" s="24"/>
      <c r="E333" s="24"/>
      <c r="F333" s="24"/>
      <c r="G333" s="33"/>
      <c r="H333" s="33"/>
      <c r="I333" s="33">
        <v>9101</v>
      </c>
      <c r="J333" s="33"/>
      <c r="K333" s="33"/>
      <c r="L333" s="31" t="s">
        <v>40</v>
      </c>
      <c r="M333" s="31"/>
      <c r="N333" s="32"/>
      <c r="O333" s="81">
        <v>104.46009389671363</v>
      </c>
      <c r="P333" s="297"/>
      <c r="Q333" s="360"/>
      <c r="R333" s="361"/>
    </row>
    <row r="334" spans="1:18" x14ac:dyDescent="0.25">
      <c r="A334" s="22"/>
      <c r="B334" s="24"/>
      <c r="C334" s="23"/>
      <c r="D334" s="24"/>
      <c r="E334" s="24"/>
      <c r="F334" s="24"/>
      <c r="G334" s="33"/>
      <c r="H334" s="33"/>
      <c r="I334" s="33">
        <v>9102</v>
      </c>
      <c r="J334" s="33"/>
      <c r="K334" s="33"/>
      <c r="L334" s="31" t="s">
        <v>258</v>
      </c>
      <c r="M334" s="31"/>
      <c r="N334" s="32"/>
      <c r="O334" s="81">
        <v>250</v>
      </c>
      <c r="P334" s="297"/>
      <c r="Q334" s="360"/>
      <c r="R334" s="361"/>
    </row>
    <row r="335" spans="1:18" x14ac:dyDescent="0.25">
      <c r="A335" s="22"/>
      <c r="B335" s="24"/>
      <c r="C335" s="23"/>
      <c r="D335" s="24"/>
      <c r="E335" s="24"/>
      <c r="F335" s="24"/>
      <c r="G335" s="33"/>
      <c r="H335" s="33"/>
      <c r="I335" s="33">
        <v>9103</v>
      </c>
      <c r="J335" s="33"/>
      <c r="K335" s="33"/>
      <c r="L335" s="31" t="s">
        <v>259</v>
      </c>
      <c r="M335" s="31"/>
      <c r="N335" s="32"/>
      <c r="O335" s="81">
        <v>22.727272727272727</v>
      </c>
      <c r="P335" s="297"/>
      <c r="Q335" s="360"/>
      <c r="R335" s="361"/>
    </row>
    <row r="336" spans="1:18" x14ac:dyDescent="0.25">
      <c r="A336" s="22"/>
      <c r="B336" s="24"/>
      <c r="C336" s="23"/>
      <c r="D336" s="24"/>
      <c r="E336" s="24"/>
      <c r="F336" s="24"/>
      <c r="G336" s="33"/>
      <c r="H336" s="33"/>
      <c r="I336" s="33">
        <v>9104</v>
      </c>
      <c r="J336" s="33"/>
      <c r="K336" s="33"/>
      <c r="L336" s="31" t="s">
        <v>261</v>
      </c>
      <c r="M336" s="31"/>
      <c r="N336" s="32"/>
      <c r="O336" s="81">
        <v>10.90909090909091</v>
      </c>
      <c r="P336" s="297"/>
      <c r="Q336" s="360"/>
      <c r="R336" s="361"/>
    </row>
    <row r="337" spans="1:18" x14ac:dyDescent="0.25">
      <c r="A337" s="22"/>
      <c r="B337" s="24"/>
      <c r="C337" s="23"/>
      <c r="D337" s="24"/>
      <c r="E337" s="24"/>
      <c r="F337" s="24"/>
      <c r="G337" s="33"/>
      <c r="H337" s="33"/>
      <c r="I337" s="33">
        <v>9105</v>
      </c>
      <c r="J337" s="33"/>
      <c r="K337" s="33"/>
      <c r="L337" s="31" t="s">
        <v>263</v>
      </c>
      <c r="M337" s="31"/>
      <c r="N337" s="32"/>
      <c r="O337" s="81">
        <v>22.727272727272727</v>
      </c>
      <c r="P337" s="297"/>
      <c r="Q337" s="360"/>
      <c r="R337" s="361"/>
    </row>
    <row r="338" spans="1:18" x14ac:dyDescent="0.25">
      <c r="A338" s="22"/>
      <c r="B338" s="24"/>
      <c r="C338" s="23"/>
      <c r="D338" s="24"/>
      <c r="E338" s="24"/>
      <c r="F338" s="24"/>
      <c r="G338" s="33"/>
      <c r="H338" s="33"/>
      <c r="I338" s="33">
        <v>9106</v>
      </c>
      <c r="J338" s="33"/>
      <c r="K338" s="33"/>
      <c r="L338" s="31" t="s">
        <v>266</v>
      </c>
      <c r="M338" s="31"/>
      <c r="N338" s="32"/>
      <c r="O338" s="81">
        <v>864</v>
      </c>
      <c r="P338" s="297"/>
      <c r="Q338" s="360"/>
      <c r="R338" s="361"/>
    </row>
    <row r="339" spans="1:18" x14ac:dyDescent="0.25">
      <c r="A339" s="22"/>
      <c r="B339" s="24"/>
      <c r="C339" s="23"/>
      <c r="D339" s="24"/>
      <c r="E339" s="24"/>
      <c r="F339" s="24"/>
      <c r="G339" s="33"/>
      <c r="H339" s="33"/>
      <c r="I339" s="33">
        <v>9107</v>
      </c>
      <c r="J339" s="33"/>
      <c r="K339" s="33"/>
      <c r="L339" s="31" t="s">
        <v>372</v>
      </c>
      <c r="M339" s="31"/>
      <c r="N339" s="32"/>
      <c r="O339" s="81">
        <v>4.7</v>
      </c>
      <c r="P339" s="297"/>
      <c r="Q339" s="360"/>
      <c r="R339" s="361"/>
    </row>
    <row r="340" spans="1:18" x14ac:dyDescent="0.25">
      <c r="A340" s="22"/>
      <c r="B340" s="24"/>
      <c r="C340" s="23"/>
      <c r="D340" s="24"/>
      <c r="E340" s="24"/>
      <c r="F340" s="24"/>
      <c r="G340" s="33">
        <v>92</v>
      </c>
      <c r="H340" s="33"/>
      <c r="I340" s="33"/>
      <c r="J340" s="33"/>
      <c r="K340" s="33"/>
      <c r="L340" s="31" t="s">
        <v>238</v>
      </c>
      <c r="M340" s="31"/>
      <c r="N340" s="32"/>
      <c r="O340" s="81"/>
      <c r="P340" s="297"/>
      <c r="Q340" s="360"/>
      <c r="R340" s="361">
        <f>SUM(O341:O347)</f>
        <v>1750.2757575757576</v>
      </c>
    </row>
    <row r="341" spans="1:18" x14ac:dyDescent="0.25">
      <c r="A341" s="22"/>
      <c r="B341" s="24"/>
      <c r="C341" s="23"/>
      <c r="D341" s="24"/>
      <c r="E341" s="24"/>
      <c r="F341" s="24"/>
      <c r="G341" s="33"/>
      <c r="H341" s="33"/>
      <c r="I341" s="33">
        <v>9201</v>
      </c>
      <c r="J341" s="33"/>
      <c r="K341" s="33"/>
      <c r="L341" s="31" t="s">
        <v>374</v>
      </c>
      <c r="M341" s="31"/>
      <c r="N341" s="32"/>
      <c r="O341" s="81">
        <v>1200</v>
      </c>
      <c r="P341" s="297"/>
      <c r="Q341" s="360"/>
      <c r="R341" s="361"/>
    </row>
    <row r="342" spans="1:18" x14ac:dyDescent="0.25">
      <c r="A342" s="22"/>
      <c r="B342" s="24"/>
      <c r="C342" s="23"/>
      <c r="D342" s="24"/>
      <c r="E342" s="24"/>
      <c r="F342" s="24"/>
      <c r="G342" s="33"/>
      <c r="H342" s="33"/>
      <c r="I342" s="33">
        <v>9202</v>
      </c>
      <c r="J342" s="33"/>
      <c r="K342" s="33"/>
      <c r="L342" s="31" t="s">
        <v>375</v>
      </c>
      <c r="M342" s="31"/>
      <c r="N342" s="32"/>
      <c r="O342" s="81">
        <v>116.66666666666667</v>
      </c>
      <c r="P342" s="297"/>
      <c r="Q342" s="360"/>
      <c r="R342" s="361"/>
    </row>
    <row r="343" spans="1:18" x14ac:dyDescent="0.25">
      <c r="A343" s="22"/>
      <c r="B343" s="24"/>
      <c r="C343" s="23"/>
      <c r="D343" s="24"/>
      <c r="E343" s="24"/>
      <c r="F343" s="24"/>
      <c r="G343" s="33"/>
      <c r="H343" s="33"/>
      <c r="I343" s="33">
        <v>9203</v>
      </c>
      <c r="J343" s="33"/>
      <c r="K343" s="33"/>
      <c r="L343" s="31" t="s">
        <v>258</v>
      </c>
      <c r="M343" s="31"/>
      <c r="N343" s="32"/>
      <c r="O343" s="81">
        <v>350</v>
      </c>
      <c r="P343" s="297"/>
      <c r="Q343" s="360"/>
      <c r="R343" s="361"/>
    </row>
    <row r="344" spans="1:18" x14ac:dyDescent="0.25">
      <c r="A344" s="22"/>
      <c r="B344" s="24"/>
      <c r="C344" s="23"/>
      <c r="D344" s="24"/>
      <c r="E344" s="24"/>
      <c r="F344" s="24"/>
      <c r="G344" s="33"/>
      <c r="H344" s="33"/>
      <c r="I344" s="33">
        <v>9204</v>
      </c>
      <c r="J344" s="33"/>
      <c r="K344" s="33"/>
      <c r="L344" s="31" t="s">
        <v>259</v>
      </c>
      <c r="M344" s="31"/>
      <c r="N344" s="32"/>
      <c r="O344" s="81">
        <v>31.818181818181817</v>
      </c>
      <c r="P344" s="297"/>
      <c r="Q344" s="360"/>
      <c r="R344" s="361"/>
    </row>
    <row r="345" spans="1:18" x14ac:dyDescent="0.25">
      <c r="A345" s="22"/>
      <c r="B345" s="24"/>
      <c r="C345" s="23"/>
      <c r="D345" s="24"/>
      <c r="E345" s="24"/>
      <c r="F345" s="24"/>
      <c r="G345" s="33"/>
      <c r="H345" s="33"/>
      <c r="I345" s="33">
        <v>9205</v>
      </c>
      <c r="J345" s="33"/>
      <c r="K345" s="33"/>
      <c r="L345" s="31" t="s">
        <v>261</v>
      </c>
      <c r="M345" s="31"/>
      <c r="N345" s="32"/>
      <c r="O345" s="81">
        <v>15.272727272727273</v>
      </c>
      <c r="P345" s="297"/>
      <c r="Q345" s="360"/>
      <c r="R345" s="361"/>
    </row>
    <row r="346" spans="1:18" x14ac:dyDescent="0.25">
      <c r="A346" s="22"/>
      <c r="B346" s="24"/>
      <c r="C346" s="23"/>
      <c r="D346" s="24"/>
      <c r="E346" s="24"/>
      <c r="F346" s="24"/>
      <c r="G346" s="33"/>
      <c r="H346" s="33"/>
      <c r="I346" s="33">
        <v>9206</v>
      </c>
      <c r="J346" s="33"/>
      <c r="K346" s="33"/>
      <c r="L346" s="31" t="s">
        <v>263</v>
      </c>
      <c r="M346" s="31"/>
      <c r="N346" s="32"/>
      <c r="O346" s="81">
        <v>31.818181818181817</v>
      </c>
      <c r="P346" s="297"/>
      <c r="Q346" s="360"/>
      <c r="R346" s="361"/>
    </row>
    <row r="347" spans="1:18" x14ac:dyDescent="0.25">
      <c r="A347" s="22"/>
      <c r="B347" s="24"/>
      <c r="C347" s="23"/>
      <c r="D347" s="24"/>
      <c r="E347" s="24"/>
      <c r="F347" s="24"/>
      <c r="G347" s="33"/>
      <c r="H347" s="33"/>
      <c r="I347" s="33">
        <v>9207</v>
      </c>
      <c r="J347" s="33"/>
      <c r="K347" s="33"/>
      <c r="L347" s="31" t="s">
        <v>372</v>
      </c>
      <c r="M347" s="31"/>
      <c r="N347" s="32"/>
      <c r="O347" s="81">
        <v>4.7</v>
      </c>
      <c r="P347" s="297"/>
      <c r="Q347" s="360"/>
      <c r="R347" s="361"/>
    </row>
    <row r="348" spans="1:18" x14ac:dyDescent="0.25">
      <c r="A348" s="22"/>
      <c r="B348" s="24"/>
      <c r="C348" s="23"/>
      <c r="D348" s="24"/>
      <c r="E348" s="24"/>
      <c r="F348" s="24"/>
      <c r="G348" s="33">
        <v>93</v>
      </c>
      <c r="H348" s="33"/>
      <c r="I348" s="33"/>
      <c r="J348" s="33"/>
      <c r="K348" s="33"/>
      <c r="L348" s="31" t="s">
        <v>239</v>
      </c>
      <c r="M348" s="31"/>
      <c r="N348" s="32"/>
      <c r="O348" s="81"/>
      <c r="P348" s="297"/>
      <c r="Q348" s="360"/>
      <c r="R348" s="361">
        <f>SUM(O349:O354)</f>
        <v>3897.4181818181814</v>
      </c>
    </row>
    <row r="349" spans="1:18" x14ac:dyDescent="0.25">
      <c r="A349" s="22"/>
      <c r="B349" s="24"/>
      <c r="C349" s="23"/>
      <c r="D349" s="24"/>
      <c r="E349" s="24"/>
      <c r="F349" s="24"/>
      <c r="G349" s="33"/>
      <c r="H349" s="33"/>
      <c r="I349" s="33">
        <v>9301</v>
      </c>
      <c r="J349" s="33"/>
      <c r="K349" s="33"/>
      <c r="L349" s="31" t="s">
        <v>42</v>
      </c>
      <c r="M349" s="31"/>
      <c r="N349" s="32"/>
      <c r="O349" s="81">
        <v>3663.6</v>
      </c>
      <c r="P349" s="297"/>
      <c r="Q349" s="360"/>
      <c r="R349" s="361"/>
    </row>
    <row r="350" spans="1:18" x14ac:dyDescent="0.25">
      <c r="A350" s="22"/>
      <c r="B350" s="24"/>
      <c r="C350" s="23"/>
      <c r="D350" s="24"/>
      <c r="E350" s="24"/>
      <c r="F350" s="24"/>
      <c r="G350" s="33"/>
      <c r="H350" s="33"/>
      <c r="I350" s="33">
        <v>9302</v>
      </c>
      <c r="J350" s="33"/>
      <c r="K350" s="33"/>
      <c r="L350" s="31" t="s">
        <v>40</v>
      </c>
      <c r="M350" s="31"/>
      <c r="N350" s="32"/>
      <c r="O350" s="81">
        <v>50</v>
      </c>
      <c r="P350" s="297"/>
      <c r="Q350" s="360"/>
      <c r="R350" s="361"/>
    </row>
    <row r="351" spans="1:18" x14ac:dyDescent="0.25">
      <c r="A351" s="22"/>
      <c r="B351" s="24"/>
      <c r="C351" s="23"/>
      <c r="D351" s="24"/>
      <c r="E351" s="24"/>
      <c r="F351" s="24"/>
      <c r="G351" s="33"/>
      <c r="H351" s="33"/>
      <c r="I351" s="33">
        <v>9303</v>
      </c>
      <c r="J351" s="33"/>
      <c r="K351" s="33"/>
      <c r="L351" s="31" t="s">
        <v>258</v>
      </c>
      <c r="M351" s="31"/>
      <c r="N351" s="32"/>
      <c r="O351" s="81">
        <v>150</v>
      </c>
      <c r="P351" s="297"/>
      <c r="Q351" s="360"/>
      <c r="R351" s="361"/>
    </row>
    <row r="352" spans="1:18" x14ac:dyDescent="0.25">
      <c r="A352" s="22"/>
      <c r="B352" s="24"/>
      <c r="C352" s="23"/>
      <c r="D352" s="24"/>
      <c r="E352" s="24"/>
      <c r="F352" s="24"/>
      <c r="G352" s="33"/>
      <c r="H352" s="33"/>
      <c r="I352" s="33">
        <v>9304</v>
      </c>
      <c r="J352" s="33"/>
      <c r="K352" s="33"/>
      <c r="L352" s="31" t="s">
        <v>259</v>
      </c>
      <c r="M352" s="31"/>
      <c r="N352" s="32"/>
      <c r="O352" s="81">
        <v>13.636363636363637</v>
      </c>
      <c r="P352" s="297"/>
      <c r="Q352" s="360"/>
      <c r="R352" s="361"/>
    </row>
    <row r="353" spans="1:18" x14ac:dyDescent="0.25">
      <c r="A353" s="22"/>
      <c r="B353" s="24"/>
      <c r="C353" s="23"/>
      <c r="D353" s="24"/>
      <c r="E353" s="24"/>
      <c r="F353" s="24"/>
      <c r="G353" s="33"/>
      <c r="H353" s="33"/>
      <c r="I353" s="33">
        <v>9305</v>
      </c>
      <c r="J353" s="33"/>
      <c r="K353" s="33"/>
      <c r="L353" s="31" t="s">
        <v>261</v>
      </c>
      <c r="M353" s="31"/>
      <c r="N353" s="32"/>
      <c r="O353" s="81">
        <v>6.545454545454545</v>
      </c>
      <c r="P353" s="297"/>
      <c r="Q353" s="360"/>
      <c r="R353" s="361"/>
    </row>
    <row r="354" spans="1:18" x14ac:dyDescent="0.25">
      <c r="A354" s="22"/>
      <c r="B354" s="24"/>
      <c r="C354" s="23"/>
      <c r="D354" s="24"/>
      <c r="E354" s="24"/>
      <c r="F354" s="24"/>
      <c r="G354" s="33"/>
      <c r="H354" s="33"/>
      <c r="I354" s="33">
        <v>9306</v>
      </c>
      <c r="J354" s="33"/>
      <c r="K354" s="33"/>
      <c r="L354" s="31" t="s">
        <v>263</v>
      </c>
      <c r="M354" s="31"/>
      <c r="N354" s="32"/>
      <c r="O354" s="81">
        <v>13.636363636363637</v>
      </c>
      <c r="P354" s="297"/>
      <c r="Q354" s="360"/>
      <c r="R354" s="361"/>
    </row>
    <row r="355" spans="1:18" x14ac:dyDescent="0.25">
      <c r="A355" s="22"/>
      <c r="B355" s="24"/>
      <c r="C355" s="23"/>
      <c r="D355" s="24"/>
      <c r="E355" s="24"/>
      <c r="F355" s="24"/>
      <c r="G355" s="33">
        <v>94</v>
      </c>
      <c r="H355" s="33"/>
      <c r="I355" s="33"/>
      <c r="J355" s="33"/>
      <c r="K355" s="33"/>
      <c r="L355" s="31" t="s">
        <v>376</v>
      </c>
      <c r="M355" s="31"/>
      <c r="N355" s="32"/>
      <c r="O355" s="81"/>
      <c r="P355" s="297"/>
      <c r="Q355" s="360"/>
      <c r="R355" s="361">
        <f>SUM(O356:O361)</f>
        <v>2124.3919760990188</v>
      </c>
    </row>
    <row r="356" spans="1:18" x14ac:dyDescent="0.25">
      <c r="A356" s="22"/>
      <c r="B356" s="24"/>
      <c r="C356" s="23"/>
      <c r="D356" s="24"/>
      <c r="E356" s="24"/>
      <c r="F356" s="24"/>
      <c r="G356" s="33"/>
      <c r="H356" s="33"/>
      <c r="I356" s="33">
        <v>9401</v>
      </c>
      <c r="J356" s="33"/>
      <c r="K356" s="33"/>
      <c r="L356" s="31" t="s">
        <v>40</v>
      </c>
      <c r="M356" s="31"/>
      <c r="N356" s="32"/>
      <c r="O356" s="81">
        <v>206.13743064447289</v>
      </c>
      <c r="P356" s="297"/>
      <c r="Q356" s="360"/>
      <c r="R356" s="361"/>
    </row>
    <row r="357" spans="1:18" x14ac:dyDescent="0.25">
      <c r="A357" s="22"/>
      <c r="B357" s="24"/>
      <c r="C357" s="23"/>
      <c r="D357" s="24"/>
      <c r="E357" s="24"/>
      <c r="F357" s="24"/>
      <c r="G357" s="33"/>
      <c r="H357" s="33"/>
      <c r="I357" s="33">
        <v>9402</v>
      </c>
      <c r="J357" s="33"/>
      <c r="K357" s="33"/>
      <c r="L357" s="31" t="s">
        <v>258</v>
      </c>
      <c r="M357" s="31"/>
      <c r="N357" s="32"/>
      <c r="O357" s="81">
        <v>1550</v>
      </c>
      <c r="P357" s="297"/>
      <c r="Q357" s="360"/>
      <c r="R357" s="361"/>
    </row>
    <row r="358" spans="1:18" x14ac:dyDescent="0.25">
      <c r="A358" s="22"/>
      <c r="B358" s="24"/>
      <c r="C358" s="23"/>
      <c r="D358" s="24"/>
      <c r="E358" s="24"/>
      <c r="F358" s="24"/>
      <c r="G358" s="33"/>
      <c r="H358" s="33"/>
      <c r="I358" s="33">
        <v>9403</v>
      </c>
      <c r="J358" s="33"/>
      <c r="K358" s="33"/>
      <c r="L358" s="31" t="s">
        <v>259</v>
      </c>
      <c r="M358" s="31"/>
      <c r="N358" s="32"/>
      <c r="O358" s="81">
        <v>140.90909090909091</v>
      </c>
      <c r="P358" s="297"/>
      <c r="Q358" s="360"/>
      <c r="R358" s="361"/>
    </row>
    <row r="359" spans="1:18" x14ac:dyDescent="0.25">
      <c r="A359" s="22"/>
      <c r="B359" s="24"/>
      <c r="C359" s="23"/>
      <c r="D359" s="24"/>
      <c r="E359" s="24"/>
      <c r="F359" s="24"/>
      <c r="G359" s="33"/>
      <c r="H359" s="33"/>
      <c r="I359" s="33">
        <v>9404</v>
      </c>
      <c r="J359" s="33"/>
      <c r="K359" s="33"/>
      <c r="L359" s="31" t="s">
        <v>261</v>
      </c>
      <c r="M359" s="31"/>
      <c r="N359" s="32"/>
      <c r="O359" s="81">
        <v>67.63636363636364</v>
      </c>
      <c r="P359" s="297"/>
      <c r="Q359" s="360"/>
      <c r="R359" s="361"/>
    </row>
    <row r="360" spans="1:18" x14ac:dyDescent="0.25">
      <c r="A360" s="22"/>
      <c r="B360" s="24"/>
      <c r="C360" s="23"/>
      <c r="D360" s="24"/>
      <c r="E360" s="24"/>
      <c r="F360" s="24"/>
      <c r="G360" s="33"/>
      <c r="H360" s="33"/>
      <c r="I360" s="33">
        <v>9405</v>
      </c>
      <c r="J360" s="33"/>
      <c r="K360" s="33"/>
      <c r="L360" s="31" t="s">
        <v>263</v>
      </c>
      <c r="M360" s="31"/>
      <c r="N360" s="32"/>
      <c r="O360" s="81">
        <v>140.90909090909091</v>
      </c>
      <c r="P360" s="297"/>
      <c r="Q360" s="360"/>
      <c r="R360" s="361"/>
    </row>
    <row r="361" spans="1:18" x14ac:dyDescent="0.25">
      <c r="A361" s="22"/>
      <c r="B361" s="24"/>
      <c r="C361" s="23"/>
      <c r="D361" s="24"/>
      <c r="E361" s="24"/>
      <c r="F361" s="24"/>
      <c r="G361" s="33"/>
      <c r="H361" s="33"/>
      <c r="I361" s="33">
        <v>9406</v>
      </c>
      <c r="J361" s="33"/>
      <c r="K361" s="33"/>
      <c r="L361" s="31" t="s">
        <v>372</v>
      </c>
      <c r="M361" s="31"/>
      <c r="N361" s="32"/>
      <c r="O361" s="81">
        <v>18.8</v>
      </c>
      <c r="P361" s="297"/>
      <c r="Q361" s="360"/>
      <c r="R361" s="361"/>
    </row>
    <row r="362" spans="1:18" x14ac:dyDescent="0.25">
      <c r="A362" s="22"/>
      <c r="B362" s="24"/>
      <c r="C362" s="23"/>
      <c r="D362" s="24"/>
      <c r="E362" s="24"/>
      <c r="F362" s="24"/>
      <c r="G362" s="33">
        <v>95</v>
      </c>
      <c r="H362" s="33"/>
      <c r="I362" s="33"/>
      <c r="J362" s="33"/>
      <c r="K362" s="33"/>
      <c r="L362" s="31" t="s">
        <v>377</v>
      </c>
      <c r="M362" s="31"/>
      <c r="N362" s="32"/>
      <c r="O362" s="81"/>
      <c r="P362" s="297"/>
      <c r="Q362" s="360"/>
      <c r="R362" s="361">
        <f>SUM(O363:O369)</f>
        <v>1475.0909090909092</v>
      </c>
    </row>
    <row r="363" spans="1:18" x14ac:dyDescent="0.25">
      <c r="A363" s="22"/>
      <c r="B363" s="24"/>
      <c r="C363" s="23"/>
      <c r="D363" s="24"/>
      <c r="E363" s="24"/>
      <c r="F363" s="24"/>
      <c r="G363" s="33"/>
      <c r="H363" s="33"/>
      <c r="I363" s="33">
        <v>9501</v>
      </c>
      <c r="J363" s="33"/>
      <c r="K363" s="33"/>
      <c r="L363" s="31" t="s">
        <v>47</v>
      </c>
      <c r="M363" s="31"/>
      <c r="N363" s="32"/>
      <c r="O363" s="81">
        <v>1130</v>
      </c>
      <c r="P363" s="297"/>
      <c r="Q363" s="360"/>
      <c r="R363" s="361"/>
    </row>
    <row r="364" spans="1:18" x14ac:dyDescent="0.25">
      <c r="A364" s="22"/>
      <c r="B364" s="24"/>
      <c r="C364" s="23"/>
      <c r="D364" s="24"/>
      <c r="E364" s="24"/>
      <c r="F364" s="24"/>
      <c r="G364" s="33"/>
      <c r="H364" s="33"/>
      <c r="I364" s="33">
        <v>9502</v>
      </c>
      <c r="J364" s="33"/>
      <c r="K364" s="33"/>
      <c r="L364" s="31" t="s">
        <v>258</v>
      </c>
      <c r="M364" s="31"/>
      <c r="N364" s="32"/>
      <c r="O364" s="81">
        <v>200</v>
      </c>
      <c r="P364" s="297"/>
      <c r="Q364" s="360"/>
      <c r="R364" s="361"/>
    </row>
    <row r="365" spans="1:18" x14ac:dyDescent="0.25">
      <c r="A365" s="22"/>
      <c r="B365" s="24"/>
      <c r="C365" s="23"/>
      <c r="D365" s="24"/>
      <c r="E365" s="24"/>
      <c r="F365" s="24"/>
      <c r="G365" s="33"/>
      <c r="H365" s="33"/>
      <c r="I365" s="33">
        <v>9503</v>
      </c>
      <c r="J365" s="33"/>
      <c r="K365" s="33"/>
      <c r="L365" s="31" t="s">
        <v>259</v>
      </c>
      <c r="M365" s="31"/>
      <c r="N365" s="32"/>
      <c r="O365" s="81">
        <v>18.181818181818183</v>
      </c>
      <c r="P365" s="297"/>
      <c r="Q365" s="360"/>
      <c r="R365" s="361"/>
    </row>
    <row r="366" spans="1:18" x14ac:dyDescent="0.25">
      <c r="A366" s="22"/>
      <c r="B366" s="24"/>
      <c r="C366" s="23"/>
      <c r="D366" s="24"/>
      <c r="E366" s="24"/>
      <c r="F366" s="24"/>
      <c r="G366" s="33"/>
      <c r="H366" s="33"/>
      <c r="I366" s="33">
        <v>9504</v>
      </c>
      <c r="J366" s="33"/>
      <c r="K366" s="33"/>
      <c r="L366" s="31" t="s">
        <v>261</v>
      </c>
      <c r="M366" s="31"/>
      <c r="N366" s="32"/>
      <c r="O366" s="81">
        <v>8.7272727272727284</v>
      </c>
      <c r="P366" s="297"/>
      <c r="Q366" s="360"/>
      <c r="R366" s="361"/>
    </row>
    <row r="367" spans="1:18" x14ac:dyDescent="0.25">
      <c r="A367" s="22"/>
      <c r="B367" s="24"/>
      <c r="C367" s="23"/>
      <c r="D367" s="24"/>
      <c r="E367" s="24"/>
      <c r="F367" s="24"/>
      <c r="G367" s="33"/>
      <c r="H367" s="33"/>
      <c r="I367" s="33">
        <v>9505</v>
      </c>
      <c r="J367" s="33"/>
      <c r="K367" s="33"/>
      <c r="L367" s="31" t="s">
        <v>263</v>
      </c>
      <c r="M367" s="31"/>
      <c r="N367" s="32"/>
      <c r="O367" s="81">
        <v>18.181818181818183</v>
      </c>
      <c r="P367" s="297"/>
      <c r="Q367" s="360"/>
      <c r="R367" s="361"/>
    </row>
    <row r="368" spans="1:18" x14ac:dyDescent="0.25">
      <c r="A368" s="22"/>
      <c r="B368" s="24"/>
      <c r="C368" s="23"/>
      <c r="D368" s="24"/>
      <c r="E368" s="24"/>
      <c r="F368" s="24"/>
      <c r="G368" s="33"/>
      <c r="H368" s="33"/>
      <c r="I368" s="33">
        <v>9506</v>
      </c>
      <c r="J368" s="33"/>
      <c r="K368" s="33"/>
      <c r="L368" s="31" t="s">
        <v>265</v>
      </c>
      <c r="M368" s="31"/>
      <c r="N368" s="32"/>
      <c r="O368" s="81">
        <v>50</v>
      </c>
      <c r="P368" s="297"/>
      <c r="Q368" s="360"/>
      <c r="R368" s="361"/>
    </row>
    <row r="369" spans="1:18" x14ac:dyDescent="0.25">
      <c r="A369" s="22"/>
      <c r="B369" s="24"/>
      <c r="C369" s="23"/>
      <c r="D369" s="24"/>
      <c r="E369" s="24"/>
      <c r="F369" s="24"/>
      <c r="G369" s="33"/>
      <c r="H369" s="33"/>
      <c r="I369" s="33">
        <v>9507</v>
      </c>
      <c r="J369" s="33"/>
      <c r="K369" s="33"/>
      <c r="L369" s="31" t="s">
        <v>274</v>
      </c>
      <c r="M369" s="31"/>
      <c r="N369" s="32"/>
      <c r="O369" s="81">
        <v>50</v>
      </c>
      <c r="P369" s="297"/>
      <c r="Q369" s="360"/>
      <c r="R369" s="361"/>
    </row>
    <row r="370" spans="1:18" x14ac:dyDescent="0.25">
      <c r="A370" s="22"/>
      <c r="B370" s="24"/>
      <c r="C370" s="23"/>
      <c r="D370" s="24"/>
      <c r="E370" s="24"/>
      <c r="F370" s="24"/>
      <c r="G370" s="33">
        <v>96</v>
      </c>
      <c r="H370" s="33"/>
      <c r="I370" s="33"/>
      <c r="J370" s="33"/>
      <c r="K370" s="33"/>
      <c r="L370" s="31" t="s">
        <v>242</v>
      </c>
      <c r="M370" s="31"/>
      <c r="N370" s="32"/>
      <c r="O370" s="81"/>
      <c r="P370" s="297"/>
      <c r="Q370" s="360"/>
      <c r="R370" s="361">
        <f>SUM(O371:O379)</f>
        <v>3515.3145966709344</v>
      </c>
    </row>
    <row r="371" spans="1:18" x14ac:dyDescent="0.25">
      <c r="A371" s="22"/>
      <c r="B371" s="24"/>
      <c r="C371" s="23"/>
      <c r="D371" s="24"/>
      <c r="E371" s="24"/>
      <c r="F371" s="24"/>
      <c r="G371" s="33"/>
      <c r="H371" s="33"/>
      <c r="I371" s="33">
        <v>9601</v>
      </c>
      <c r="J371" s="33"/>
      <c r="K371" s="33"/>
      <c r="L371" s="31" t="s">
        <v>40</v>
      </c>
      <c r="M371" s="31"/>
      <c r="N371" s="32"/>
      <c r="O371" s="81">
        <v>232.7358087921468</v>
      </c>
      <c r="P371" s="297"/>
      <c r="Q371" s="360"/>
      <c r="R371" s="361"/>
    </row>
    <row r="372" spans="1:18" x14ac:dyDescent="0.25">
      <c r="A372" s="22"/>
      <c r="B372" s="24"/>
      <c r="C372" s="23"/>
      <c r="D372" s="24"/>
      <c r="E372" s="24"/>
      <c r="F372" s="24"/>
      <c r="G372" s="33"/>
      <c r="H372" s="33"/>
      <c r="I372" s="33">
        <v>9602</v>
      </c>
      <c r="J372" s="33"/>
      <c r="K372" s="33"/>
      <c r="L372" s="31" t="s">
        <v>116</v>
      </c>
      <c r="M372" s="31"/>
      <c r="N372" s="32"/>
      <c r="O372" s="81">
        <v>250</v>
      </c>
      <c r="P372" s="297"/>
      <c r="Q372" s="360"/>
      <c r="R372" s="361"/>
    </row>
    <row r="373" spans="1:18" x14ac:dyDescent="0.25">
      <c r="A373" s="22"/>
      <c r="B373" s="24"/>
      <c r="C373" s="23"/>
      <c r="D373" s="24"/>
      <c r="E373" s="24"/>
      <c r="F373" s="24"/>
      <c r="G373" s="33"/>
      <c r="H373" s="33"/>
      <c r="I373" s="33">
        <v>9603</v>
      </c>
      <c r="J373" s="33"/>
      <c r="K373" s="33"/>
      <c r="L373" s="31" t="s">
        <v>258</v>
      </c>
      <c r="M373" s="31"/>
      <c r="N373" s="32"/>
      <c r="O373" s="81">
        <v>1750</v>
      </c>
      <c r="P373" s="297"/>
      <c r="Q373" s="360"/>
      <c r="R373" s="361"/>
    </row>
    <row r="374" spans="1:18" x14ac:dyDescent="0.25">
      <c r="A374" s="22"/>
      <c r="B374" s="24"/>
      <c r="C374" s="23"/>
      <c r="D374" s="24"/>
      <c r="E374" s="24"/>
      <c r="F374" s="24"/>
      <c r="G374" s="33"/>
      <c r="H374" s="33"/>
      <c r="I374" s="33">
        <v>9604</v>
      </c>
      <c r="J374" s="33"/>
      <c r="K374" s="33"/>
      <c r="L374" s="31" t="s">
        <v>259</v>
      </c>
      <c r="M374" s="31"/>
      <c r="N374" s="32"/>
      <c r="O374" s="81">
        <v>159.09090909090909</v>
      </c>
      <c r="P374" s="297"/>
      <c r="Q374" s="360"/>
      <c r="R374" s="361"/>
    </row>
    <row r="375" spans="1:18" x14ac:dyDescent="0.25">
      <c r="A375" s="22"/>
      <c r="B375" s="24"/>
      <c r="C375" s="23"/>
      <c r="D375" s="24"/>
      <c r="E375" s="24"/>
      <c r="F375" s="24"/>
      <c r="G375" s="33"/>
      <c r="H375" s="33"/>
      <c r="I375" s="33">
        <v>9605</v>
      </c>
      <c r="J375" s="33"/>
      <c r="K375" s="33"/>
      <c r="L375" s="31" t="s">
        <v>261</v>
      </c>
      <c r="M375" s="31"/>
      <c r="N375" s="32"/>
      <c r="O375" s="81">
        <v>76.36363636363636</v>
      </c>
      <c r="P375" s="297"/>
      <c r="Q375" s="360"/>
      <c r="R375" s="361"/>
    </row>
    <row r="376" spans="1:18" x14ac:dyDescent="0.25">
      <c r="A376" s="22"/>
      <c r="B376" s="24"/>
      <c r="C376" s="23"/>
      <c r="D376" s="24"/>
      <c r="E376" s="24"/>
      <c r="F376" s="24"/>
      <c r="G376" s="33"/>
      <c r="H376" s="33"/>
      <c r="I376" s="33">
        <v>9606</v>
      </c>
      <c r="J376" s="33"/>
      <c r="K376" s="33"/>
      <c r="L376" s="31" t="s">
        <v>263</v>
      </c>
      <c r="M376" s="31"/>
      <c r="N376" s="32"/>
      <c r="O376" s="81">
        <v>159.09090909090909</v>
      </c>
      <c r="P376" s="297"/>
      <c r="Q376" s="360"/>
      <c r="R376" s="361"/>
    </row>
    <row r="377" spans="1:18" x14ac:dyDescent="0.25">
      <c r="A377" s="22"/>
      <c r="B377" s="24"/>
      <c r="C377" s="23"/>
      <c r="D377" s="24"/>
      <c r="E377" s="24"/>
      <c r="F377" s="24"/>
      <c r="G377" s="33"/>
      <c r="H377" s="33"/>
      <c r="I377" s="33">
        <v>9607</v>
      </c>
      <c r="J377" s="33"/>
      <c r="K377" s="33"/>
      <c r="L377" s="31" t="s">
        <v>267</v>
      </c>
      <c r="M377" s="31"/>
      <c r="N377" s="32"/>
      <c r="O377" s="81">
        <v>50</v>
      </c>
      <c r="P377" s="297"/>
      <c r="Q377" s="360"/>
      <c r="R377" s="361"/>
    </row>
    <row r="378" spans="1:18" x14ac:dyDescent="0.25">
      <c r="A378" s="22"/>
      <c r="B378" s="24"/>
      <c r="C378" s="23"/>
      <c r="D378" s="24"/>
      <c r="E378" s="24"/>
      <c r="F378" s="24"/>
      <c r="G378" s="33"/>
      <c r="H378" s="33"/>
      <c r="I378" s="33">
        <v>9608</v>
      </c>
      <c r="J378" s="33"/>
      <c r="K378" s="33"/>
      <c r="L378" s="31" t="s">
        <v>303</v>
      </c>
      <c r="M378" s="31"/>
      <c r="N378" s="32"/>
      <c r="O378" s="81">
        <v>4.7</v>
      </c>
      <c r="P378" s="297"/>
      <c r="Q378" s="360"/>
      <c r="R378" s="361"/>
    </row>
    <row r="379" spans="1:18" x14ac:dyDescent="0.25">
      <c r="A379" s="22"/>
      <c r="B379" s="24"/>
      <c r="C379" s="23"/>
      <c r="D379" s="24"/>
      <c r="E379" s="24"/>
      <c r="F379" s="24"/>
      <c r="G379" s="33"/>
      <c r="H379" s="33"/>
      <c r="I379" s="33">
        <v>9609</v>
      </c>
      <c r="J379" s="33"/>
      <c r="K379" s="33"/>
      <c r="L379" s="31" t="s">
        <v>63</v>
      </c>
      <c r="M379" s="31"/>
      <c r="N379" s="32"/>
      <c r="O379" s="81">
        <v>833.33333333333326</v>
      </c>
      <c r="P379" s="297"/>
      <c r="Q379" s="360"/>
      <c r="R379" s="361"/>
    </row>
    <row r="380" spans="1:18" x14ac:dyDescent="0.25">
      <c r="A380" s="22"/>
      <c r="B380" s="24"/>
      <c r="C380" s="23"/>
      <c r="D380" s="24"/>
      <c r="E380" s="24"/>
      <c r="F380" s="24"/>
      <c r="G380" s="33"/>
      <c r="H380" s="33"/>
      <c r="I380" s="33"/>
      <c r="J380" s="33"/>
      <c r="K380" s="33"/>
      <c r="L380" s="374" t="s">
        <v>385</v>
      </c>
      <c r="M380" s="31"/>
      <c r="N380" s="32"/>
      <c r="O380" s="81"/>
      <c r="P380" s="297"/>
      <c r="Q380" s="360"/>
      <c r="R380" s="361"/>
    </row>
    <row r="381" spans="1:18" x14ac:dyDescent="0.25">
      <c r="A381" s="22"/>
      <c r="B381" s="24"/>
      <c r="C381" s="23"/>
      <c r="D381" s="24"/>
      <c r="E381" s="24"/>
      <c r="F381" s="24"/>
      <c r="G381" s="33"/>
      <c r="H381" s="33"/>
      <c r="I381" s="33"/>
      <c r="J381" s="33"/>
      <c r="K381" s="33"/>
      <c r="L381" s="373" t="s">
        <v>386</v>
      </c>
      <c r="M381" s="31"/>
      <c r="N381" s="32"/>
      <c r="O381" s="81"/>
      <c r="P381" s="297"/>
      <c r="Q381" s="360"/>
      <c r="R381" s="361"/>
    </row>
    <row r="382" spans="1:18" x14ac:dyDescent="0.25">
      <c r="A382" s="22"/>
      <c r="B382" s="24"/>
      <c r="C382" s="23"/>
      <c r="D382" s="24"/>
      <c r="E382" s="24"/>
      <c r="F382" s="24"/>
      <c r="G382" s="371">
        <v>79</v>
      </c>
      <c r="H382" s="371"/>
      <c r="I382" s="371"/>
      <c r="J382" s="371"/>
      <c r="K382" s="371"/>
      <c r="L382" s="370" t="s">
        <v>368</v>
      </c>
      <c r="M382" s="31"/>
      <c r="N382" s="32"/>
      <c r="O382" s="81"/>
      <c r="P382" s="297"/>
      <c r="Q382" s="360">
        <f>+P383</f>
        <v>19092.904703030305</v>
      </c>
      <c r="R382" s="361"/>
    </row>
    <row r="383" spans="1:18" x14ac:dyDescent="0.25">
      <c r="A383" s="22"/>
      <c r="B383" s="24"/>
      <c r="C383" s="23"/>
      <c r="D383" s="24"/>
      <c r="E383" s="24"/>
      <c r="F383" s="24"/>
      <c r="G383" s="33"/>
      <c r="H383" s="33">
        <v>791</v>
      </c>
      <c r="I383" s="33"/>
      <c r="J383" s="33"/>
      <c r="K383" s="33"/>
      <c r="L383" s="31" t="s">
        <v>369</v>
      </c>
      <c r="M383" s="31"/>
      <c r="N383" s="32"/>
      <c r="O383" s="81"/>
      <c r="P383" s="297">
        <f>SUM(P385:P394)</f>
        <v>19092.904703030305</v>
      </c>
      <c r="Q383" s="360"/>
      <c r="R383" s="361"/>
    </row>
    <row r="384" spans="1:18" x14ac:dyDescent="0.25">
      <c r="A384" s="22"/>
      <c r="B384" s="24"/>
      <c r="C384" s="23"/>
      <c r="D384" s="24"/>
      <c r="E384" s="24"/>
      <c r="F384" s="24"/>
      <c r="G384" s="371">
        <v>97</v>
      </c>
      <c r="H384" s="371"/>
      <c r="I384" s="371"/>
      <c r="J384" s="371"/>
      <c r="K384" s="371"/>
      <c r="L384" s="370" t="s">
        <v>382</v>
      </c>
      <c r="M384" s="31"/>
      <c r="N384" s="32"/>
      <c r="O384" s="81"/>
      <c r="P384" s="297"/>
      <c r="Q384" s="360"/>
      <c r="R384" s="361">
        <f>SUM(P385:P387)</f>
        <v>14042.011369696971</v>
      </c>
    </row>
    <row r="385" spans="1:18" x14ac:dyDescent="0.25">
      <c r="A385" s="22"/>
      <c r="B385" s="24"/>
      <c r="C385" s="23"/>
      <c r="D385" s="24"/>
      <c r="E385" s="24"/>
      <c r="F385" s="24"/>
      <c r="G385" s="33"/>
      <c r="H385" s="33">
        <v>9701</v>
      </c>
      <c r="I385" s="33"/>
      <c r="J385" s="33"/>
      <c r="K385" s="33"/>
      <c r="L385" s="31" t="s">
        <v>374</v>
      </c>
      <c r="M385" s="31"/>
      <c r="N385" s="32"/>
      <c r="O385" s="81"/>
      <c r="P385" s="297">
        <v>1200</v>
      </c>
      <c r="Q385" s="360"/>
      <c r="R385" s="361"/>
    </row>
    <row r="386" spans="1:18" x14ac:dyDescent="0.25">
      <c r="A386" s="22"/>
      <c r="B386" s="24"/>
      <c r="C386" s="23"/>
      <c r="D386" s="24"/>
      <c r="E386" s="24"/>
      <c r="F386" s="24"/>
      <c r="G386" s="33"/>
      <c r="H386" s="33">
        <v>9702</v>
      </c>
      <c r="I386" s="33"/>
      <c r="J386" s="33"/>
      <c r="K386" s="33"/>
      <c r="L386" s="31" t="s">
        <v>383</v>
      </c>
      <c r="M386" s="31"/>
      <c r="N386" s="32"/>
      <c r="O386" s="81"/>
      <c r="P386" s="297">
        <v>4250</v>
      </c>
      <c r="Q386" s="360"/>
      <c r="R386" s="361"/>
    </row>
    <row r="387" spans="1:18" x14ac:dyDescent="0.25">
      <c r="A387" s="22"/>
      <c r="B387" s="24"/>
      <c r="C387" s="23"/>
      <c r="D387" s="24"/>
      <c r="E387" s="24"/>
      <c r="F387" s="24"/>
      <c r="G387" s="33"/>
      <c r="H387" s="33">
        <v>9703</v>
      </c>
      <c r="I387" s="33"/>
      <c r="J387" s="33"/>
      <c r="K387" s="33"/>
      <c r="L387" s="31" t="s">
        <v>384</v>
      </c>
      <c r="M387" s="31"/>
      <c r="N387" s="32"/>
      <c r="O387" s="81"/>
      <c r="P387" s="297">
        <v>8592.0113696969711</v>
      </c>
      <c r="Q387" s="360"/>
      <c r="R387" s="361"/>
    </row>
    <row r="388" spans="1:18" x14ac:dyDescent="0.25">
      <c r="A388" s="22"/>
      <c r="B388" s="24"/>
      <c r="C388" s="23"/>
      <c r="D388" s="24"/>
      <c r="E388" s="24"/>
      <c r="F388" s="24"/>
      <c r="G388" s="371">
        <v>98</v>
      </c>
      <c r="H388" s="371"/>
      <c r="I388" s="371"/>
      <c r="J388" s="371"/>
      <c r="K388" s="371"/>
      <c r="L388" s="370" t="s">
        <v>379</v>
      </c>
      <c r="M388" s="31"/>
      <c r="N388" s="32"/>
      <c r="O388" s="81"/>
      <c r="P388" s="297"/>
      <c r="Q388" s="360"/>
      <c r="R388" s="361">
        <f>SUM(P389:P394)</f>
        <v>5050.8933333333334</v>
      </c>
    </row>
    <row r="389" spans="1:18" x14ac:dyDescent="0.25">
      <c r="A389" s="22"/>
      <c r="B389" s="24"/>
      <c r="C389" s="23"/>
      <c r="D389" s="24"/>
      <c r="E389" s="24"/>
      <c r="F389" s="24"/>
      <c r="G389" s="33"/>
      <c r="H389" s="33"/>
      <c r="I389" s="33">
        <v>9801</v>
      </c>
      <c r="J389" s="33"/>
      <c r="K389" s="33"/>
      <c r="L389" s="31" t="s">
        <v>264</v>
      </c>
      <c r="M389" s="31"/>
      <c r="N389" s="32"/>
      <c r="O389" s="81"/>
      <c r="P389" s="81">
        <v>150</v>
      </c>
      <c r="Q389" s="360"/>
      <c r="R389" s="361"/>
    </row>
    <row r="390" spans="1:18" x14ac:dyDescent="0.25">
      <c r="A390" s="22"/>
      <c r="B390" s="24"/>
      <c r="C390" s="23"/>
      <c r="D390" s="24"/>
      <c r="E390" s="24"/>
      <c r="F390" s="24"/>
      <c r="G390" s="33"/>
      <c r="H390" s="33"/>
      <c r="I390" s="33">
        <v>9802</v>
      </c>
      <c r="J390" s="33"/>
      <c r="K390" s="33"/>
      <c r="L390" s="31" t="s">
        <v>345</v>
      </c>
      <c r="M390" s="31"/>
      <c r="N390" s="32"/>
      <c r="O390" s="81"/>
      <c r="P390" s="81">
        <v>30</v>
      </c>
      <c r="Q390" s="360"/>
      <c r="R390" s="361"/>
    </row>
    <row r="391" spans="1:18" x14ac:dyDescent="0.25">
      <c r="A391" s="22"/>
      <c r="B391" s="24"/>
      <c r="C391" s="23"/>
      <c r="D391" s="24"/>
      <c r="E391" s="24"/>
      <c r="F391" s="24"/>
      <c r="G391" s="33"/>
      <c r="H391" s="33"/>
      <c r="I391" s="33">
        <v>9803</v>
      </c>
      <c r="J391" s="33"/>
      <c r="K391" s="33"/>
      <c r="L391" s="31" t="s">
        <v>267</v>
      </c>
      <c r="M391" s="31"/>
      <c r="N391" s="32"/>
      <c r="O391" s="81"/>
      <c r="P391" s="81">
        <v>80</v>
      </c>
      <c r="Q391" s="360"/>
      <c r="R391" s="361"/>
    </row>
    <row r="392" spans="1:18" x14ac:dyDescent="0.25">
      <c r="A392" s="22"/>
      <c r="B392" s="24"/>
      <c r="C392" s="23"/>
      <c r="D392" s="24"/>
      <c r="E392" s="24"/>
      <c r="F392" s="24"/>
      <c r="G392" s="33"/>
      <c r="H392" s="33"/>
      <c r="I392" s="33">
        <v>9804</v>
      </c>
      <c r="J392" s="33"/>
      <c r="K392" s="33"/>
      <c r="L392" s="31" t="s">
        <v>269</v>
      </c>
      <c r="M392" s="31"/>
      <c r="N392" s="32"/>
      <c r="O392" s="81"/>
      <c r="P392" s="81">
        <v>1407.56</v>
      </c>
      <c r="Q392" s="360"/>
      <c r="R392" s="361"/>
    </row>
    <row r="393" spans="1:18" x14ac:dyDescent="0.25">
      <c r="A393" s="22"/>
      <c r="B393" s="24"/>
      <c r="C393" s="23"/>
      <c r="D393" s="24"/>
      <c r="E393" s="24"/>
      <c r="F393" s="24"/>
      <c r="G393" s="33"/>
      <c r="H393" s="33"/>
      <c r="I393" s="33">
        <v>9805</v>
      </c>
      <c r="J393" s="33"/>
      <c r="K393" s="33"/>
      <c r="L393" s="31" t="s">
        <v>270</v>
      </c>
      <c r="M393" s="31"/>
      <c r="N393" s="32"/>
      <c r="O393" s="81"/>
      <c r="P393" s="81">
        <v>50</v>
      </c>
      <c r="Q393" s="360"/>
      <c r="R393" s="361"/>
    </row>
    <row r="394" spans="1:18" x14ac:dyDescent="0.25">
      <c r="A394" s="22"/>
      <c r="B394" s="24"/>
      <c r="C394" s="23"/>
      <c r="D394" s="24"/>
      <c r="E394" s="24"/>
      <c r="F394" s="24"/>
      <c r="G394" s="33"/>
      <c r="H394" s="33"/>
      <c r="I394" s="33">
        <v>9806</v>
      </c>
      <c r="J394" s="33"/>
      <c r="K394" s="33"/>
      <c r="L394" s="31" t="s">
        <v>272</v>
      </c>
      <c r="M394" s="31"/>
      <c r="N394" s="32"/>
      <c r="O394" s="81"/>
      <c r="P394" s="81">
        <v>3333.333333333333</v>
      </c>
      <c r="Q394" s="360"/>
      <c r="R394" s="361"/>
    </row>
    <row r="395" spans="1:18" x14ac:dyDescent="0.25">
      <c r="A395" s="22"/>
      <c r="B395" s="24"/>
      <c r="C395" s="23"/>
      <c r="D395" s="24"/>
      <c r="E395" s="24"/>
      <c r="F395" s="24"/>
      <c r="G395" s="33"/>
      <c r="H395" s="33"/>
      <c r="I395" s="33"/>
      <c r="J395" s="33"/>
      <c r="K395" s="33"/>
      <c r="L395" s="374" t="s">
        <v>387</v>
      </c>
      <c r="M395" s="31"/>
      <c r="N395" s="32"/>
      <c r="O395" s="81"/>
      <c r="P395" s="297"/>
      <c r="Q395" s="360"/>
      <c r="R395" s="361"/>
    </row>
    <row r="396" spans="1:18" x14ac:dyDescent="0.25">
      <c r="A396" s="22"/>
      <c r="B396" s="24"/>
      <c r="C396" s="23"/>
      <c r="D396" s="24"/>
      <c r="E396" s="24"/>
      <c r="F396" s="24"/>
      <c r="G396" s="33"/>
      <c r="H396" s="33"/>
      <c r="I396" s="33"/>
      <c r="J396" s="33"/>
      <c r="K396" s="33"/>
      <c r="L396" s="373" t="s">
        <v>388</v>
      </c>
      <c r="M396" s="31"/>
      <c r="N396" s="32"/>
      <c r="O396" s="81"/>
      <c r="P396" s="297"/>
      <c r="Q396" s="360"/>
      <c r="R396" s="361"/>
    </row>
    <row r="397" spans="1:18" x14ac:dyDescent="0.25">
      <c r="A397" s="22"/>
      <c r="B397" s="24"/>
      <c r="C397" s="23"/>
      <c r="D397" s="24"/>
      <c r="E397" s="24"/>
      <c r="F397" s="24"/>
      <c r="G397" s="33">
        <v>35</v>
      </c>
      <c r="H397" s="33"/>
      <c r="I397" s="33"/>
      <c r="J397" s="33"/>
      <c r="K397" s="33"/>
      <c r="L397" s="31" t="s">
        <v>393</v>
      </c>
      <c r="M397" s="31"/>
      <c r="N397" s="32"/>
      <c r="O397" s="81"/>
      <c r="P397" s="297"/>
      <c r="Q397" s="360">
        <f>+P398</f>
        <v>14042.011369696971</v>
      </c>
      <c r="R397" s="361"/>
    </row>
    <row r="398" spans="1:18" x14ac:dyDescent="0.25">
      <c r="A398" s="22"/>
      <c r="B398" s="24"/>
      <c r="C398" s="23"/>
      <c r="D398" s="24"/>
      <c r="E398" s="24"/>
      <c r="F398" s="24"/>
      <c r="G398" s="33"/>
      <c r="H398" s="33">
        <v>351</v>
      </c>
      <c r="I398" s="33"/>
      <c r="J398" s="33"/>
      <c r="K398" s="33"/>
      <c r="L398" s="374"/>
      <c r="M398" s="31"/>
      <c r="N398" s="32"/>
      <c r="O398" s="81"/>
      <c r="P398" s="297">
        <f>+ACC!E53</f>
        <v>14042.011369696971</v>
      </c>
      <c r="Q398" s="360"/>
      <c r="R398" s="361"/>
    </row>
    <row r="399" spans="1:18" x14ac:dyDescent="0.25">
      <c r="A399" s="22"/>
      <c r="B399" s="24"/>
      <c r="C399" s="23"/>
      <c r="D399" s="24"/>
      <c r="E399" s="24"/>
      <c r="F399" s="24"/>
      <c r="G399" s="33">
        <v>72</v>
      </c>
      <c r="H399" s="33"/>
      <c r="I399" s="33"/>
      <c r="J399" s="33"/>
      <c r="K399" s="33"/>
      <c r="L399" s="31" t="s">
        <v>389</v>
      </c>
      <c r="M399" s="31"/>
      <c r="N399" s="32"/>
      <c r="O399" s="81"/>
      <c r="P399" s="297"/>
      <c r="Q399" s="360"/>
      <c r="R399" s="361">
        <f>+P400</f>
        <v>14042.011369696971</v>
      </c>
    </row>
    <row r="400" spans="1:18" x14ac:dyDescent="0.25">
      <c r="A400" s="22"/>
      <c r="B400" s="24"/>
      <c r="C400" s="23"/>
      <c r="D400" s="24"/>
      <c r="E400" s="24"/>
      <c r="F400" s="24"/>
      <c r="G400" s="33"/>
      <c r="H400" s="33">
        <v>724</v>
      </c>
      <c r="I400" s="33"/>
      <c r="J400" s="33"/>
      <c r="K400" s="33"/>
      <c r="L400" s="374"/>
      <c r="M400" s="31"/>
      <c r="N400" s="32"/>
      <c r="O400" s="81"/>
      <c r="P400" s="297">
        <f>+P398</f>
        <v>14042.011369696971</v>
      </c>
      <c r="Q400" s="360"/>
      <c r="R400" s="361"/>
    </row>
    <row r="401" spans="1:21" x14ac:dyDescent="0.25">
      <c r="A401" s="22"/>
      <c r="B401" s="24"/>
      <c r="C401" s="23"/>
      <c r="D401" s="24"/>
      <c r="E401" s="24"/>
      <c r="F401" s="24"/>
      <c r="G401" s="33"/>
      <c r="H401" s="33"/>
      <c r="I401" s="33"/>
      <c r="J401" s="33"/>
      <c r="K401" s="33"/>
      <c r="L401" s="374" t="s">
        <v>396</v>
      </c>
      <c r="M401" s="31"/>
      <c r="N401" s="32"/>
      <c r="O401" s="81"/>
      <c r="P401" s="297"/>
      <c r="Q401" s="360"/>
      <c r="R401" s="361"/>
    </row>
    <row r="402" spans="1:21" x14ac:dyDescent="0.25">
      <c r="A402" s="22"/>
      <c r="B402" s="24"/>
      <c r="C402" s="23"/>
      <c r="D402" s="24"/>
      <c r="E402" s="24"/>
      <c r="F402" s="24"/>
      <c r="G402" s="33"/>
      <c r="H402" s="33"/>
      <c r="I402" s="33"/>
      <c r="J402" s="33"/>
      <c r="K402" s="33"/>
      <c r="L402" s="373" t="s">
        <v>390</v>
      </c>
      <c r="M402" s="31"/>
      <c r="N402" s="32"/>
      <c r="O402" s="81"/>
      <c r="P402" s="297"/>
      <c r="Q402" s="360"/>
      <c r="R402" s="361"/>
    </row>
    <row r="403" spans="1:21" x14ac:dyDescent="0.25">
      <c r="A403" s="22"/>
      <c r="B403" s="24"/>
      <c r="C403" s="23"/>
      <c r="D403" s="24"/>
      <c r="E403" s="24"/>
      <c r="F403" s="24"/>
      <c r="G403" s="33">
        <v>21</v>
      </c>
      <c r="H403" s="33"/>
      <c r="I403" s="33"/>
      <c r="J403" s="33"/>
      <c r="K403" s="33"/>
      <c r="L403" s="31" t="s">
        <v>180</v>
      </c>
      <c r="M403" s="31"/>
      <c r="N403" s="32"/>
      <c r="O403" s="81"/>
      <c r="P403" s="490"/>
      <c r="Q403" s="491">
        <v>31250</v>
      </c>
      <c r="R403" s="361"/>
    </row>
    <row r="404" spans="1:21" x14ac:dyDescent="0.25">
      <c r="A404" s="22"/>
      <c r="B404" s="24"/>
      <c r="C404" s="23"/>
      <c r="D404" s="24"/>
      <c r="E404" s="24"/>
      <c r="F404" s="24"/>
      <c r="G404" s="33"/>
      <c r="H404" s="33">
        <v>213</v>
      </c>
      <c r="I404" s="33"/>
      <c r="J404" s="33"/>
      <c r="K404" s="33"/>
      <c r="L404" s="374"/>
      <c r="M404" s="31"/>
      <c r="N404" s="32"/>
      <c r="O404" s="81"/>
      <c r="P404" s="490">
        <v>31250</v>
      </c>
      <c r="Q404" s="361"/>
      <c r="R404" s="361"/>
    </row>
    <row r="405" spans="1:21" x14ac:dyDescent="0.25">
      <c r="A405" s="22"/>
      <c r="B405" s="24"/>
      <c r="C405" s="23"/>
      <c r="D405" s="24"/>
      <c r="E405" s="24"/>
      <c r="F405" s="24"/>
      <c r="G405" s="33">
        <v>35</v>
      </c>
      <c r="H405" s="33"/>
      <c r="I405" s="33"/>
      <c r="J405" s="33"/>
      <c r="K405" s="33"/>
      <c r="L405" s="31" t="s">
        <v>397</v>
      </c>
      <c r="M405" s="31"/>
      <c r="N405" s="32"/>
      <c r="O405" s="81"/>
      <c r="P405" s="297"/>
      <c r="Q405" s="360"/>
      <c r="R405" s="491">
        <v>14042.01</v>
      </c>
    </row>
    <row r="406" spans="1:21" x14ac:dyDescent="0.25">
      <c r="A406" s="22"/>
      <c r="B406" s="24"/>
      <c r="C406" s="23"/>
      <c r="D406" s="24"/>
      <c r="E406" s="24"/>
      <c r="F406" s="24"/>
      <c r="G406" s="33"/>
      <c r="H406" s="33">
        <v>351</v>
      </c>
      <c r="I406" s="33"/>
      <c r="J406" s="33"/>
      <c r="K406" s="33"/>
      <c r="L406" s="374"/>
      <c r="M406" s="31"/>
      <c r="N406" s="32"/>
      <c r="O406" s="81"/>
      <c r="P406" s="297">
        <v>14042.01</v>
      </c>
      <c r="Q406" s="360"/>
      <c r="R406" s="361"/>
    </row>
    <row r="407" spans="1:21" x14ac:dyDescent="0.25">
      <c r="A407" s="22"/>
      <c r="B407" s="24"/>
      <c r="C407" s="23"/>
      <c r="D407" s="24"/>
      <c r="E407" s="24"/>
      <c r="F407" s="24"/>
      <c r="G407" s="33">
        <v>76</v>
      </c>
      <c r="H407" s="33"/>
      <c r="I407" s="33"/>
      <c r="J407" s="33"/>
      <c r="K407" s="33"/>
      <c r="L407" s="31" t="s">
        <v>398</v>
      </c>
      <c r="M407" s="31"/>
      <c r="N407" s="32"/>
      <c r="O407" s="81"/>
      <c r="P407" s="297"/>
      <c r="Q407" s="360"/>
      <c r="R407" s="491">
        <v>17207.990000000002</v>
      </c>
    </row>
    <row r="408" spans="1:21" x14ac:dyDescent="0.25">
      <c r="A408" s="22"/>
      <c r="B408" s="226"/>
      <c r="C408" s="23"/>
      <c r="D408" s="226"/>
      <c r="E408" s="226"/>
      <c r="F408" s="226"/>
      <c r="G408" s="227"/>
      <c r="H408" s="227">
        <v>761</v>
      </c>
      <c r="I408" s="227"/>
      <c r="J408" s="227"/>
      <c r="K408" s="227"/>
      <c r="L408" s="228"/>
      <c r="M408" s="228"/>
      <c r="N408" s="229"/>
      <c r="O408" s="230"/>
      <c r="P408" s="231">
        <v>17207.990000000002</v>
      </c>
      <c r="Q408" s="360"/>
      <c r="R408" s="361"/>
    </row>
    <row r="409" spans="1:21" x14ac:dyDescent="0.25">
      <c r="A409" s="22"/>
      <c r="B409" s="24"/>
      <c r="C409" s="23"/>
      <c r="D409" s="24"/>
      <c r="E409" s="24"/>
      <c r="F409" s="24"/>
      <c r="G409" s="33"/>
      <c r="H409" s="33"/>
      <c r="I409" s="33"/>
      <c r="J409" s="33"/>
      <c r="K409" s="33"/>
      <c r="L409" s="31" t="s">
        <v>395</v>
      </c>
      <c r="M409" s="31"/>
      <c r="N409" s="32"/>
      <c r="O409" s="81"/>
      <c r="P409" s="297"/>
      <c r="Q409" s="360"/>
      <c r="R409" s="361"/>
    </row>
    <row r="410" spans="1:21" x14ac:dyDescent="0.25">
      <c r="A410" s="22"/>
      <c r="B410" s="24"/>
      <c r="C410" s="23"/>
      <c r="D410" s="24"/>
      <c r="E410" s="24"/>
      <c r="F410" s="24"/>
      <c r="G410" s="33"/>
      <c r="H410" s="33"/>
      <c r="I410" s="33"/>
      <c r="J410" s="33"/>
      <c r="K410" s="33"/>
      <c r="L410" s="373" t="s">
        <v>391</v>
      </c>
      <c r="M410" s="31"/>
      <c r="N410" s="32"/>
      <c r="O410" s="81"/>
      <c r="P410" s="297"/>
      <c r="Q410" s="360"/>
      <c r="R410" s="361"/>
    </row>
    <row r="411" spans="1:21" x14ac:dyDescent="0.25">
      <c r="A411" s="22"/>
      <c r="B411" s="24"/>
      <c r="C411" s="23"/>
      <c r="D411" s="24"/>
      <c r="E411" s="24"/>
      <c r="F411" s="24"/>
      <c r="G411" s="33">
        <v>69</v>
      </c>
      <c r="H411" s="33"/>
      <c r="I411" s="33"/>
      <c r="J411" s="33"/>
      <c r="K411" s="33"/>
      <c r="L411" s="31" t="s">
        <v>399</v>
      </c>
      <c r="M411" s="31"/>
      <c r="N411" s="32"/>
      <c r="O411" s="81"/>
      <c r="P411" s="297"/>
      <c r="Q411" s="360">
        <f>+P412</f>
        <v>31250</v>
      </c>
      <c r="R411" s="361"/>
    </row>
    <row r="412" spans="1:21" x14ac:dyDescent="0.25">
      <c r="A412" s="22"/>
      <c r="B412" s="24"/>
      <c r="C412" s="23"/>
      <c r="D412" s="24"/>
      <c r="E412" s="24"/>
      <c r="F412" s="24"/>
      <c r="G412" s="33"/>
      <c r="H412" s="33"/>
      <c r="I412" s="33"/>
      <c r="J412" s="33"/>
      <c r="K412" s="33"/>
      <c r="L412" s="31"/>
      <c r="M412" s="31"/>
      <c r="N412" s="32"/>
      <c r="O412" s="81"/>
      <c r="P412" s="297">
        <v>31250</v>
      </c>
      <c r="Q412" s="360"/>
      <c r="R412" s="361"/>
      <c r="S412">
        <v>21</v>
      </c>
      <c r="T412">
        <v>14042.01</v>
      </c>
    </row>
    <row r="413" spans="1:21" x14ac:dyDescent="0.25">
      <c r="A413" s="22"/>
      <c r="B413" s="24"/>
      <c r="C413" s="23"/>
      <c r="D413" s="24"/>
      <c r="E413" s="24"/>
      <c r="F413" s="24"/>
      <c r="G413" s="33">
        <v>21</v>
      </c>
      <c r="H413" s="33"/>
      <c r="I413" s="33"/>
      <c r="J413" s="33"/>
      <c r="K413" s="33"/>
      <c r="L413" s="31" t="s">
        <v>180</v>
      </c>
      <c r="M413" s="31"/>
      <c r="N413" s="32"/>
      <c r="O413" s="81"/>
      <c r="P413" s="297"/>
      <c r="Q413" s="360"/>
      <c r="R413" s="361">
        <f>+P414</f>
        <v>29687.5</v>
      </c>
      <c r="S413">
        <v>71</v>
      </c>
      <c r="U413">
        <f>+T412</f>
        <v>14042.01</v>
      </c>
    </row>
    <row r="414" spans="1:21" x14ac:dyDescent="0.25">
      <c r="A414" s="22"/>
      <c r="B414" s="24"/>
      <c r="C414" s="23"/>
      <c r="D414" s="24"/>
      <c r="E414" s="24"/>
      <c r="F414" s="24"/>
      <c r="G414" s="33"/>
      <c r="H414" s="33"/>
      <c r="I414" s="33"/>
      <c r="J414" s="33"/>
      <c r="K414" s="33"/>
      <c r="L414" s="31"/>
      <c r="M414" s="31"/>
      <c r="N414" s="32"/>
      <c r="O414" s="81"/>
      <c r="P414" s="297">
        <v>29687.5</v>
      </c>
      <c r="Q414" s="360"/>
      <c r="R414" s="361"/>
    </row>
    <row r="415" spans="1:21" x14ac:dyDescent="0.25">
      <c r="A415" s="22"/>
      <c r="B415" s="24"/>
      <c r="C415" s="23"/>
      <c r="D415" s="24"/>
      <c r="E415" s="24"/>
      <c r="F415" s="24"/>
      <c r="G415" s="33">
        <v>29</v>
      </c>
      <c r="H415" s="33"/>
      <c r="I415" s="33"/>
      <c r="J415" s="33"/>
      <c r="K415" s="33"/>
      <c r="L415" s="31" t="s">
        <v>400</v>
      </c>
      <c r="M415" s="31"/>
      <c r="N415" s="32"/>
      <c r="O415" s="81"/>
      <c r="P415" s="297"/>
      <c r="Q415" s="360"/>
      <c r="R415" s="361">
        <f>+P416</f>
        <v>1562.5</v>
      </c>
    </row>
    <row r="416" spans="1:21" x14ac:dyDescent="0.25">
      <c r="A416" s="22"/>
      <c r="B416" s="24"/>
      <c r="C416" s="23"/>
      <c r="D416" s="24"/>
      <c r="E416" s="24"/>
      <c r="F416" s="24"/>
      <c r="G416" s="33"/>
      <c r="H416" s="33"/>
      <c r="I416" s="33"/>
      <c r="J416" s="33"/>
      <c r="K416" s="33"/>
      <c r="L416" s="31"/>
      <c r="M416" s="31"/>
      <c r="N416" s="32"/>
      <c r="O416" s="81"/>
      <c r="P416" s="297">
        <v>1562.5</v>
      </c>
      <c r="Q416" s="360"/>
      <c r="R416" s="361"/>
    </row>
    <row r="417" spans="1:18" x14ac:dyDescent="0.25">
      <c r="A417" s="22"/>
      <c r="B417" s="24"/>
      <c r="C417" s="23"/>
      <c r="D417" s="24"/>
      <c r="E417" s="24"/>
      <c r="F417" s="24"/>
      <c r="G417" s="33"/>
      <c r="H417" s="33"/>
      <c r="I417" s="33"/>
      <c r="J417" s="33"/>
      <c r="K417" s="33"/>
      <c r="L417" s="31" t="s">
        <v>394</v>
      </c>
      <c r="M417" s="31"/>
      <c r="N417" s="32"/>
      <c r="O417" s="81"/>
      <c r="P417" s="297" t="s">
        <v>392</v>
      </c>
      <c r="Q417" s="360"/>
      <c r="R417" s="361"/>
    </row>
    <row r="418" spans="1:18" x14ac:dyDescent="0.25">
      <c r="A418" s="22"/>
      <c r="B418" s="24"/>
      <c r="C418" s="23"/>
      <c r="D418" s="24"/>
      <c r="E418" s="24"/>
      <c r="F418" s="24"/>
      <c r="G418" s="33"/>
      <c r="H418" s="33"/>
      <c r="I418" s="33"/>
      <c r="J418" s="33"/>
      <c r="K418" s="33"/>
      <c r="L418" s="31"/>
      <c r="M418" s="31"/>
      <c r="N418" s="32"/>
      <c r="O418" s="81"/>
      <c r="P418" s="297"/>
      <c r="Q418" s="360"/>
      <c r="R418" s="361"/>
    </row>
    <row r="419" spans="1:18" x14ac:dyDescent="0.25">
      <c r="A419" s="22"/>
      <c r="B419" s="24"/>
      <c r="C419" s="23"/>
      <c r="D419" s="24"/>
      <c r="E419" s="24"/>
      <c r="F419" s="24"/>
      <c r="G419" s="33"/>
      <c r="H419" s="33"/>
      <c r="I419" s="33"/>
      <c r="J419" s="33"/>
      <c r="K419" s="33"/>
      <c r="L419" s="31"/>
      <c r="M419" s="31"/>
      <c r="N419" s="32"/>
      <c r="O419" s="81"/>
      <c r="P419" s="297"/>
      <c r="Q419" s="360"/>
      <c r="R419" s="361"/>
    </row>
    <row r="420" spans="1:18" x14ac:dyDescent="0.25">
      <c r="A420" s="22"/>
      <c r="B420" s="24"/>
      <c r="C420" s="23"/>
      <c r="D420" s="24"/>
      <c r="E420" s="24"/>
      <c r="F420" s="24"/>
      <c r="G420" s="33"/>
      <c r="H420" s="33"/>
      <c r="I420" s="33"/>
      <c r="J420" s="33"/>
      <c r="K420" s="33"/>
      <c r="L420" s="31"/>
      <c r="M420" s="31"/>
      <c r="N420" s="32"/>
      <c r="O420" s="81"/>
      <c r="P420" s="297"/>
      <c r="Q420" s="360"/>
      <c r="R420" s="361"/>
    </row>
    <row r="421" spans="1:18" x14ac:dyDescent="0.25">
      <c r="A421" s="22"/>
      <c r="B421" s="24"/>
      <c r="C421" s="23"/>
      <c r="D421" s="24"/>
      <c r="E421" s="24"/>
      <c r="F421" s="24"/>
      <c r="G421" s="33"/>
      <c r="H421" s="33"/>
      <c r="I421" s="33"/>
      <c r="J421" s="33"/>
      <c r="K421" s="33"/>
      <c r="L421" s="31"/>
      <c r="M421" s="31"/>
      <c r="N421" s="32"/>
      <c r="O421" s="81"/>
      <c r="P421" s="297"/>
      <c r="Q421" s="360"/>
      <c r="R421" s="361"/>
    </row>
    <row r="422" spans="1:18" x14ac:dyDescent="0.25">
      <c r="A422" s="22"/>
      <c r="B422" s="24"/>
      <c r="C422" s="23"/>
      <c r="D422" s="24"/>
      <c r="E422" s="24"/>
      <c r="F422" s="24"/>
      <c r="G422" s="33"/>
      <c r="H422" s="33"/>
      <c r="I422" s="33"/>
      <c r="J422" s="33"/>
      <c r="K422" s="33"/>
      <c r="L422" s="31"/>
      <c r="M422" s="31"/>
      <c r="N422" s="32"/>
      <c r="O422" s="81"/>
      <c r="P422" s="297"/>
      <c r="Q422" s="360"/>
      <c r="R422" s="361"/>
    </row>
    <row r="423" spans="1:18" ht="15.75" thickBot="1" x14ac:dyDescent="0.3">
      <c r="A423" s="22"/>
      <c r="B423" s="24"/>
      <c r="C423" s="23"/>
      <c r="D423" s="24"/>
      <c r="E423" s="24"/>
      <c r="F423" s="24"/>
      <c r="G423" s="33"/>
      <c r="H423" s="33"/>
      <c r="I423" s="33"/>
      <c r="J423" s="33"/>
      <c r="K423" s="33"/>
      <c r="L423" s="31"/>
      <c r="M423" s="228"/>
      <c r="N423" s="32"/>
      <c r="O423" s="81"/>
      <c r="P423" s="231"/>
      <c r="Q423" s="362"/>
      <c r="R423" s="363"/>
    </row>
    <row r="424" spans="1:18" ht="15.75" thickBot="1" x14ac:dyDescent="0.3">
      <c r="A424" s="3"/>
      <c r="B424" s="3"/>
      <c r="C424" s="3"/>
      <c r="D424" s="3"/>
      <c r="E424" s="3"/>
      <c r="F424" s="3"/>
      <c r="G424" s="27"/>
      <c r="H424" s="27"/>
      <c r="I424" s="27"/>
      <c r="J424" s="27"/>
      <c r="K424" s="27"/>
      <c r="L424" s="28" t="s">
        <v>31</v>
      </c>
      <c r="M424" s="28"/>
      <c r="N424" s="76"/>
      <c r="O424" s="79"/>
      <c r="P424" s="79"/>
      <c r="Q424" s="364">
        <f>SUM(Q11:Q423)</f>
        <v>718252.58129696932</v>
      </c>
      <c r="R424" s="365">
        <f>SUM(R11:R423)</f>
        <v>718252.58129696932</v>
      </c>
    </row>
    <row r="425" spans="1:18" x14ac:dyDescent="0.25">
      <c r="R425" s="366">
        <f>+Q424-R424</f>
        <v>0</v>
      </c>
    </row>
  </sheetData>
  <autoFilter ref="G1:P427"/>
  <mergeCells count="195">
    <mergeCell ref="N8:P10"/>
    <mergeCell ref="Q8:Q10"/>
    <mergeCell ref="R8:R10"/>
    <mergeCell ref="L8:L10"/>
    <mergeCell ref="L11:M11"/>
    <mergeCell ref="L17:M17"/>
    <mergeCell ref="L18:M18"/>
    <mergeCell ref="L19:M19"/>
    <mergeCell ref="L20:M20"/>
    <mergeCell ref="L21:M21"/>
    <mergeCell ref="L12:M12"/>
    <mergeCell ref="L13:M13"/>
    <mergeCell ref="L14:M14"/>
    <mergeCell ref="L15:M15"/>
    <mergeCell ref="L16:M16"/>
    <mergeCell ref="L27:M27"/>
    <mergeCell ref="L28:M28"/>
    <mergeCell ref="L29:M29"/>
    <mergeCell ref="L30:M30"/>
    <mergeCell ref="L31:M31"/>
    <mergeCell ref="L22:M22"/>
    <mergeCell ref="L23:M23"/>
    <mergeCell ref="L24:M24"/>
    <mergeCell ref="L25:M25"/>
    <mergeCell ref="L26:M26"/>
    <mergeCell ref="L37:M37"/>
    <mergeCell ref="L38:M38"/>
    <mergeCell ref="L39:M39"/>
    <mergeCell ref="L40:M40"/>
    <mergeCell ref="L41:M41"/>
    <mergeCell ref="L32:M32"/>
    <mergeCell ref="L33:M33"/>
    <mergeCell ref="L34:M34"/>
    <mergeCell ref="L35:M35"/>
    <mergeCell ref="L36:M36"/>
    <mergeCell ref="L47:M47"/>
    <mergeCell ref="L48:M48"/>
    <mergeCell ref="L49:M49"/>
    <mergeCell ref="L50:M50"/>
    <mergeCell ref="L51:M51"/>
    <mergeCell ref="L42:M42"/>
    <mergeCell ref="L43:M43"/>
    <mergeCell ref="L44:M44"/>
    <mergeCell ref="L45:M45"/>
    <mergeCell ref="L46:M46"/>
    <mergeCell ref="L57:M57"/>
    <mergeCell ref="L58:M58"/>
    <mergeCell ref="L59:M59"/>
    <mergeCell ref="L60:M60"/>
    <mergeCell ref="L61:M61"/>
    <mergeCell ref="L52:M52"/>
    <mergeCell ref="L53:M53"/>
    <mergeCell ref="L54:M54"/>
    <mergeCell ref="L55:M55"/>
    <mergeCell ref="L56:M56"/>
    <mergeCell ref="L67:M67"/>
    <mergeCell ref="L68:M68"/>
    <mergeCell ref="L69:M69"/>
    <mergeCell ref="L70:M70"/>
    <mergeCell ref="L71:M71"/>
    <mergeCell ref="L62:M62"/>
    <mergeCell ref="L63:M63"/>
    <mergeCell ref="L64:M64"/>
    <mergeCell ref="L65:M65"/>
    <mergeCell ref="L66:M66"/>
    <mergeCell ref="L77:M77"/>
    <mergeCell ref="L78:M78"/>
    <mergeCell ref="L79:M79"/>
    <mergeCell ref="L80:M80"/>
    <mergeCell ref="L81:M81"/>
    <mergeCell ref="L72:M72"/>
    <mergeCell ref="L73:M73"/>
    <mergeCell ref="L74:M74"/>
    <mergeCell ref="L75:M75"/>
    <mergeCell ref="L76:M76"/>
    <mergeCell ref="L87:M87"/>
    <mergeCell ref="L88:M88"/>
    <mergeCell ref="L89:M89"/>
    <mergeCell ref="L90:M90"/>
    <mergeCell ref="L91:M91"/>
    <mergeCell ref="L82:M82"/>
    <mergeCell ref="L83:M83"/>
    <mergeCell ref="L84:M84"/>
    <mergeCell ref="L85:M85"/>
    <mergeCell ref="L86:M86"/>
    <mergeCell ref="L97:M97"/>
    <mergeCell ref="L98:M98"/>
    <mergeCell ref="L99:M99"/>
    <mergeCell ref="L100:M100"/>
    <mergeCell ref="L101:M101"/>
    <mergeCell ref="L92:M92"/>
    <mergeCell ref="L93:M93"/>
    <mergeCell ref="L94:M94"/>
    <mergeCell ref="L95:M95"/>
    <mergeCell ref="L96:M96"/>
    <mergeCell ref="L107:M107"/>
    <mergeCell ref="L108:M108"/>
    <mergeCell ref="L109:M109"/>
    <mergeCell ref="L110:M110"/>
    <mergeCell ref="L111:M111"/>
    <mergeCell ref="L102:M102"/>
    <mergeCell ref="L103:M103"/>
    <mergeCell ref="L104:M104"/>
    <mergeCell ref="L105:M105"/>
    <mergeCell ref="L106:M106"/>
    <mergeCell ref="L117:M117"/>
    <mergeCell ref="L118:M118"/>
    <mergeCell ref="L119:M119"/>
    <mergeCell ref="L120:M120"/>
    <mergeCell ref="L121:M121"/>
    <mergeCell ref="L112:M112"/>
    <mergeCell ref="L113:M113"/>
    <mergeCell ref="L114:M114"/>
    <mergeCell ref="L115:M115"/>
    <mergeCell ref="L116:M116"/>
    <mergeCell ref="L127:M127"/>
    <mergeCell ref="L128:M128"/>
    <mergeCell ref="L129:M129"/>
    <mergeCell ref="L130:M130"/>
    <mergeCell ref="L131:M131"/>
    <mergeCell ref="L122:M122"/>
    <mergeCell ref="L123:M123"/>
    <mergeCell ref="L124:M124"/>
    <mergeCell ref="L125:M125"/>
    <mergeCell ref="L126:M126"/>
    <mergeCell ref="L137:M137"/>
    <mergeCell ref="L138:M138"/>
    <mergeCell ref="L139:M139"/>
    <mergeCell ref="L140:M140"/>
    <mergeCell ref="L141:M141"/>
    <mergeCell ref="L132:M132"/>
    <mergeCell ref="L133:M133"/>
    <mergeCell ref="L134:M134"/>
    <mergeCell ref="L135:M135"/>
    <mergeCell ref="L136:M136"/>
    <mergeCell ref="L147:M147"/>
    <mergeCell ref="L148:M148"/>
    <mergeCell ref="L149:M149"/>
    <mergeCell ref="L150:M150"/>
    <mergeCell ref="L151:M151"/>
    <mergeCell ref="L142:M142"/>
    <mergeCell ref="L143:M143"/>
    <mergeCell ref="L144:M144"/>
    <mergeCell ref="L145:M145"/>
    <mergeCell ref="L146:M146"/>
    <mergeCell ref="L157:M157"/>
    <mergeCell ref="L158:M158"/>
    <mergeCell ref="L159:M159"/>
    <mergeCell ref="L160:M160"/>
    <mergeCell ref="L161:M161"/>
    <mergeCell ref="L152:M152"/>
    <mergeCell ref="L153:M153"/>
    <mergeCell ref="L154:M154"/>
    <mergeCell ref="L155:M155"/>
    <mergeCell ref="L156:M156"/>
    <mergeCell ref="L167:M167"/>
    <mergeCell ref="L168:M168"/>
    <mergeCell ref="L169:M169"/>
    <mergeCell ref="L170:M170"/>
    <mergeCell ref="L171:M171"/>
    <mergeCell ref="L162:M162"/>
    <mergeCell ref="L163:M163"/>
    <mergeCell ref="L164:M164"/>
    <mergeCell ref="L165:M165"/>
    <mergeCell ref="L166:M166"/>
    <mergeCell ref="L177:M177"/>
    <mergeCell ref="L178:M178"/>
    <mergeCell ref="L179:M179"/>
    <mergeCell ref="L180:M180"/>
    <mergeCell ref="L181:M181"/>
    <mergeCell ref="L172:M172"/>
    <mergeCell ref="L173:M173"/>
    <mergeCell ref="L174:M174"/>
    <mergeCell ref="L175:M175"/>
    <mergeCell ref="L176:M176"/>
    <mergeCell ref="L187:M187"/>
    <mergeCell ref="L188:M188"/>
    <mergeCell ref="L189:M189"/>
    <mergeCell ref="L190:M190"/>
    <mergeCell ref="L191:M191"/>
    <mergeCell ref="L182:M182"/>
    <mergeCell ref="L183:M183"/>
    <mergeCell ref="L184:M184"/>
    <mergeCell ref="L185:M185"/>
    <mergeCell ref="L186:M186"/>
    <mergeCell ref="L198:M198"/>
    <mergeCell ref="L199:M199"/>
    <mergeCell ref="L200:M200"/>
    <mergeCell ref="L201:M201"/>
    <mergeCell ref="L195:M195"/>
    <mergeCell ref="L196:M196"/>
    <mergeCell ref="L197:M197"/>
    <mergeCell ref="L192:M192"/>
    <mergeCell ref="L193:M193"/>
    <mergeCell ref="L194:M194"/>
  </mergeCells>
  <pageMargins left="0.7" right="0.7" top="0.75" bottom="0.75" header="0.3" footer="0.3"/>
  <pageSetup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1"/>
  <sheetViews>
    <sheetView topLeftCell="A52" zoomScale="110" zoomScaleNormal="110" workbookViewId="0">
      <selection activeCell="A56" sqref="A56"/>
    </sheetView>
  </sheetViews>
  <sheetFormatPr baseColWidth="10" defaultRowHeight="15" x14ac:dyDescent="0.25"/>
  <cols>
    <col min="1" max="1" width="13.7109375" bestFit="1" customWidth="1"/>
    <col min="2" max="2" width="13" bestFit="1" customWidth="1"/>
    <col min="3" max="3" width="5.7109375" customWidth="1"/>
    <col min="4" max="4" width="13.42578125" customWidth="1"/>
    <col min="5" max="5" width="13.7109375" bestFit="1" customWidth="1"/>
    <col min="6" max="6" width="5.7109375" customWidth="1"/>
    <col min="7" max="8" width="12.5703125" bestFit="1" customWidth="1"/>
    <col min="9" max="9" width="5.5703125" customWidth="1"/>
    <col min="10" max="11" width="13.7109375" bestFit="1" customWidth="1"/>
  </cols>
  <sheetData>
    <row r="2" spans="1:11" x14ac:dyDescent="0.25">
      <c r="A2" s="463">
        <v>101</v>
      </c>
      <c r="B2" s="463"/>
      <c r="D2" s="464">
        <v>104</v>
      </c>
      <c r="E2" s="464"/>
      <c r="G2" s="464">
        <v>121</v>
      </c>
      <c r="H2" s="464"/>
      <c r="J2" s="464">
        <v>123</v>
      </c>
      <c r="K2" s="464"/>
    </row>
    <row r="3" spans="1:11" x14ac:dyDescent="0.25">
      <c r="A3" s="182">
        <f>+DIARIO!P12</f>
        <v>8950</v>
      </c>
      <c r="B3" s="183">
        <f>+DIARIO!P126</f>
        <v>11183.6332</v>
      </c>
      <c r="D3" s="189">
        <f>+DIARIO!P13</f>
        <v>30000</v>
      </c>
      <c r="E3" s="34">
        <f>+DIARIO!P114</f>
        <v>4283.6332000000002</v>
      </c>
      <c r="G3" s="189">
        <f>+DIARIO!P15</f>
        <v>12800</v>
      </c>
      <c r="H3" s="34">
        <f>+DIARIO!P134</f>
        <v>47800</v>
      </c>
      <c r="J3" s="189">
        <f>+DIARIO!P16</f>
        <v>9500</v>
      </c>
      <c r="K3" s="34">
        <f>+DIARIO!P135</f>
        <v>9500</v>
      </c>
    </row>
    <row r="4" spans="1:11" x14ac:dyDescent="0.25">
      <c r="A4" s="184">
        <f>+DIARIO!P112</f>
        <v>22876.073199999999</v>
      </c>
      <c r="B4" s="185">
        <f>+DIARIO!P132</f>
        <v>18592.439999999999</v>
      </c>
      <c r="D4" s="190">
        <f>+DIARIO!O120</f>
        <v>6900</v>
      </c>
      <c r="E4" s="34">
        <f>+DIARIO!P150</f>
        <v>35333.633199999997</v>
      </c>
      <c r="G4" s="190">
        <f>+DIARIO!P105</f>
        <v>35000</v>
      </c>
      <c r="H4" s="34"/>
      <c r="J4" s="190"/>
      <c r="K4" s="34"/>
    </row>
    <row r="5" spans="1:11" x14ac:dyDescent="0.25">
      <c r="A5" s="184">
        <f>+DIARIO!P141</f>
        <v>4283.6332000000002</v>
      </c>
      <c r="B5" s="185"/>
      <c r="D5" s="190">
        <f>+DIARIO!P130</f>
        <v>77300</v>
      </c>
      <c r="E5" s="34"/>
      <c r="G5" s="190"/>
      <c r="H5" s="34"/>
      <c r="J5" s="190"/>
      <c r="K5" s="34"/>
    </row>
    <row r="6" spans="1:11" x14ac:dyDescent="0.25">
      <c r="A6" s="184"/>
      <c r="B6" s="185"/>
      <c r="D6" s="190"/>
      <c r="E6" s="34"/>
      <c r="G6" s="190"/>
      <c r="H6" s="34"/>
      <c r="J6" s="190"/>
      <c r="K6" s="34"/>
    </row>
    <row r="7" spans="1:11" x14ac:dyDescent="0.25">
      <c r="A7" s="184"/>
      <c r="B7" s="185"/>
      <c r="D7" s="190"/>
      <c r="E7" s="34"/>
      <c r="G7" s="190"/>
      <c r="H7" s="34"/>
      <c r="J7" s="190"/>
      <c r="K7" s="34"/>
    </row>
    <row r="8" spans="1:11" x14ac:dyDescent="0.25">
      <c r="A8" s="184"/>
      <c r="B8" s="185"/>
      <c r="D8" s="190"/>
      <c r="E8" s="34"/>
      <c r="G8" s="190"/>
      <c r="H8" s="34"/>
      <c r="J8" s="190"/>
      <c r="K8" s="34"/>
    </row>
    <row r="9" spans="1:11" x14ac:dyDescent="0.25">
      <c r="A9" s="184"/>
      <c r="B9" s="185"/>
      <c r="D9" s="190"/>
      <c r="E9" s="34"/>
      <c r="G9" s="190"/>
      <c r="H9" s="34"/>
      <c r="J9" s="190"/>
      <c r="K9" s="34"/>
    </row>
    <row r="10" spans="1:11" x14ac:dyDescent="0.25">
      <c r="A10" s="184"/>
      <c r="B10" s="185"/>
      <c r="D10" s="190"/>
      <c r="E10" s="34"/>
      <c r="G10" s="190"/>
      <c r="H10" s="34"/>
      <c r="J10" s="190"/>
      <c r="K10" s="34"/>
    </row>
    <row r="11" spans="1:11" ht="15.75" thickBot="1" x14ac:dyDescent="0.3">
      <c r="A11" s="186"/>
      <c r="B11" s="187"/>
      <c r="D11" s="190"/>
      <c r="E11" s="34"/>
      <c r="G11" s="190"/>
      <c r="H11" s="34"/>
      <c r="J11" s="190"/>
      <c r="K11" s="34"/>
    </row>
    <row r="12" spans="1:11" x14ac:dyDescent="0.25">
      <c r="A12" s="188">
        <f>SUM(A3:A11)</f>
        <v>36109.706399999995</v>
      </c>
      <c r="B12" s="34">
        <f>SUM(B3:B11)</f>
        <v>29776.073199999999</v>
      </c>
      <c r="D12" s="189">
        <f>SUM(D3:D11)</f>
        <v>114200</v>
      </c>
      <c r="E12" s="191">
        <f>SUM(E3:E11)</f>
        <v>39617.266399999993</v>
      </c>
      <c r="G12" s="189">
        <f>SUM(G3:G11)</f>
        <v>47800</v>
      </c>
      <c r="H12" s="191">
        <f>SUM(H3:H11)</f>
        <v>47800</v>
      </c>
      <c r="J12" s="189">
        <f>SUM(J3:J11)</f>
        <v>9500</v>
      </c>
      <c r="K12" s="191">
        <f>SUM(K3:K11)</f>
        <v>9500</v>
      </c>
    </row>
    <row r="15" spans="1:11" x14ac:dyDescent="0.25">
      <c r="A15" s="464">
        <v>243</v>
      </c>
      <c r="B15" s="464"/>
      <c r="D15" s="464">
        <v>252</v>
      </c>
      <c r="E15" s="464"/>
      <c r="G15" s="464">
        <v>261</v>
      </c>
      <c r="H15" s="464"/>
      <c r="J15" s="464">
        <v>331</v>
      </c>
      <c r="K15" s="464"/>
    </row>
    <row r="16" spans="1:11" x14ac:dyDescent="0.25">
      <c r="A16" s="182">
        <f>+DIARIO!P18</f>
        <v>1200</v>
      </c>
      <c r="B16" s="183">
        <f>+DIARIO!P164</f>
        <v>1200</v>
      </c>
      <c r="D16" s="182">
        <f>+DIARIO!P20</f>
        <v>5503.6</v>
      </c>
      <c r="E16" s="183">
        <f>+DIARIO!P166</f>
        <v>5503.6</v>
      </c>
      <c r="G16" s="182">
        <f>+DIARIO!P63</f>
        <v>250</v>
      </c>
      <c r="H16" s="183">
        <f>+DIARIO!P172</f>
        <v>250</v>
      </c>
      <c r="J16" s="182">
        <f>+DIARIO!P40</f>
        <v>100000</v>
      </c>
      <c r="K16" s="183"/>
    </row>
    <row r="17" spans="1:11" x14ac:dyDescent="0.25">
      <c r="A17" s="184"/>
      <c r="B17" s="185"/>
      <c r="D17" s="184"/>
      <c r="E17" s="185"/>
      <c r="G17" s="184"/>
      <c r="H17" s="185"/>
      <c r="J17" s="184"/>
      <c r="K17" s="185"/>
    </row>
    <row r="18" spans="1:11" x14ac:dyDescent="0.25">
      <c r="A18" s="184"/>
      <c r="B18" s="185"/>
      <c r="D18" s="184"/>
      <c r="E18" s="185"/>
      <c r="G18" s="184"/>
      <c r="H18" s="185"/>
      <c r="J18" s="184"/>
      <c r="K18" s="185"/>
    </row>
    <row r="19" spans="1:11" ht="15.75" thickBot="1" x14ac:dyDescent="0.3">
      <c r="A19" s="186"/>
      <c r="B19" s="187"/>
      <c r="D19" s="186"/>
      <c r="E19" s="187"/>
      <c r="G19" s="186"/>
      <c r="H19" s="187"/>
      <c r="J19" s="186"/>
      <c r="K19" s="187"/>
    </row>
    <row r="20" spans="1:11" x14ac:dyDescent="0.25">
      <c r="A20" s="188">
        <f>SUM(A16:A19)</f>
        <v>1200</v>
      </c>
      <c r="B20" s="34">
        <f>SUM(B16:B19)</f>
        <v>1200</v>
      </c>
      <c r="D20" s="188">
        <f>SUM(D16:D19)</f>
        <v>5503.6</v>
      </c>
      <c r="E20" s="34">
        <f>SUM(E16:E19)</f>
        <v>5503.6</v>
      </c>
      <c r="G20" s="188">
        <f>SUM(G16:G19)</f>
        <v>250</v>
      </c>
      <c r="H20" s="34">
        <f>SUM(H16:H19)</f>
        <v>250</v>
      </c>
      <c r="J20" s="188">
        <f>SUM(J16:J19)</f>
        <v>100000</v>
      </c>
      <c r="K20" s="34">
        <f>SUM(K16:K19)</f>
        <v>0</v>
      </c>
    </row>
    <row r="23" spans="1:11" x14ac:dyDescent="0.25">
      <c r="A23" s="464">
        <v>332</v>
      </c>
      <c r="B23" s="464"/>
      <c r="D23" s="464">
        <v>337</v>
      </c>
      <c r="E23" s="464"/>
      <c r="G23" s="464">
        <v>373</v>
      </c>
      <c r="H23" s="464"/>
      <c r="J23" s="464">
        <v>391</v>
      </c>
      <c r="K23" s="464"/>
    </row>
    <row r="24" spans="1:11" x14ac:dyDescent="0.25">
      <c r="A24" s="182">
        <f>+DIARIO!P41</f>
        <v>200000</v>
      </c>
      <c r="B24" s="183"/>
      <c r="D24" s="182">
        <f>+DIARIO!P44</f>
        <v>1200</v>
      </c>
      <c r="E24" s="183"/>
      <c r="G24" s="182">
        <f>+DIARIO!P53</f>
        <v>1407.56</v>
      </c>
      <c r="H24" s="183">
        <f>+DIARIO!P137</f>
        <v>1407.56</v>
      </c>
      <c r="J24" s="182"/>
      <c r="K24" s="183">
        <f>+DIARIO!P186</f>
        <v>4216.6666666666661</v>
      </c>
    </row>
    <row r="25" spans="1:11" x14ac:dyDescent="0.25">
      <c r="A25" s="184"/>
      <c r="B25" s="185"/>
      <c r="D25" s="184"/>
      <c r="E25" s="185"/>
      <c r="G25" s="184"/>
      <c r="H25" s="185"/>
      <c r="J25" s="184"/>
      <c r="K25" s="185"/>
    </row>
    <row r="26" spans="1:11" x14ac:dyDescent="0.25">
      <c r="A26" s="184"/>
      <c r="B26" s="185"/>
      <c r="D26" s="184"/>
      <c r="E26" s="185"/>
      <c r="G26" s="184"/>
      <c r="H26" s="185"/>
      <c r="J26" s="184"/>
      <c r="K26" s="185"/>
    </row>
    <row r="27" spans="1:11" ht="15.75" thickBot="1" x14ac:dyDescent="0.3">
      <c r="A27" s="186"/>
      <c r="B27" s="187"/>
      <c r="D27" s="186"/>
      <c r="E27" s="187"/>
      <c r="G27" s="186"/>
      <c r="H27" s="187"/>
      <c r="J27" s="186"/>
      <c r="K27" s="187"/>
    </row>
    <row r="28" spans="1:11" x14ac:dyDescent="0.25">
      <c r="A28" s="188">
        <f>SUM(A24:A27)</f>
        <v>200000</v>
      </c>
      <c r="B28" s="34">
        <f>SUM(B24:B27)</f>
        <v>0</v>
      </c>
      <c r="D28" s="188">
        <f>SUM(D24:D27)</f>
        <v>1200</v>
      </c>
      <c r="E28" s="34">
        <f>SUM(E24:E27)</f>
        <v>0</v>
      </c>
      <c r="G28" s="188">
        <f>SUM(G24:G27)</f>
        <v>1407.56</v>
      </c>
      <c r="H28" s="34">
        <f>SUM(H24:H27)</f>
        <v>1407.56</v>
      </c>
      <c r="J28" s="188">
        <f>SUM(J24:J27)</f>
        <v>0</v>
      </c>
      <c r="K28" s="34">
        <f>SUM(K24:K27)</f>
        <v>4216.6666666666661</v>
      </c>
    </row>
    <row r="31" spans="1:11" x14ac:dyDescent="0.25">
      <c r="A31" s="464">
        <v>403</v>
      </c>
      <c r="B31" s="464"/>
      <c r="D31" s="464">
        <v>411</v>
      </c>
      <c r="E31" s="464"/>
      <c r="G31" s="464">
        <v>415</v>
      </c>
      <c r="H31" s="464"/>
      <c r="J31" s="464">
        <v>421</v>
      </c>
      <c r="K31" s="464"/>
    </row>
    <row r="32" spans="1:11" x14ac:dyDescent="0.25">
      <c r="A32" s="182"/>
      <c r="B32" s="183">
        <f>+DIARIO!P74</f>
        <v>788.18119999999999</v>
      </c>
      <c r="D32" s="182">
        <f>+DIARIO!O122</f>
        <v>4033.6332000000002</v>
      </c>
      <c r="E32" s="183">
        <f>+DIARIO!P80</f>
        <v>4033.6332000000002</v>
      </c>
      <c r="G32" s="182"/>
      <c r="H32" s="183">
        <f>+DIARIO!P191</f>
        <v>386.36</v>
      </c>
      <c r="J32" s="182">
        <f>+DIARIO!O124</f>
        <v>250</v>
      </c>
      <c r="K32" s="183">
        <f>+DIARIO!P47</f>
        <v>5000</v>
      </c>
    </row>
    <row r="33" spans="1:11" x14ac:dyDescent="0.25">
      <c r="A33" s="184"/>
      <c r="B33" s="185">
        <f>+DIARIO!P101</f>
        <v>32.9</v>
      </c>
      <c r="D33" s="184"/>
      <c r="E33" s="185"/>
      <c r="G33" s="184"/>
      <c r="H33" s="185"/>
      <c r="J33" s="184">
        <f>+DIARIO!P143</f>
        <v>5000</v>
      </c>
      <c r="K33" s="185">
        <f>+DIARIO!P60</f>
        <v>250</v>
      </c>
    </row>
    <row r="34" spans="1:11" x14ac:dyDescent="0.25">
      <c r="A34" s="184"/>
      <c r="B34" s="185"/>
      <c r="D34" s="184"/>
      <c r="E34" s="185"/>
      <c r="G34" s="184"/>
      <c r="H34" s="185"/>
      <c r="J34" s="184"/>
      <c r="K34" s="185"/>
    </row>
    <row r="35" spans="1:11" ht="15.75" thickBot="1" x14ac:dyDescent="0.3">
      <c r="A35" s="186"/>
      <c r="B35" s="187"/>
      <c r="D35" s="186"/>
      <c r="E35" s="187"/>
      <c r="G35" s="186"/>
      <c r="H35" s="187"/>
      <c r="J35" s="186"/>
      <c r="K35" s="187"/>
    </row>
    <row r="36" spans="1:11" x14ac:dyDescent="0.25">
      <c r="A36" s="188">
        <f>SUM(A32:A35)</f>
        <v>0</v>
      </c>
      <c r="B36" s="34">
        <f>SUM(B32:B35)</f>
        <v>821.08119999999997</v>
      </c>
      <c r="D36" s="188">
        <f>SUM(D32:D35)</f>
        <v>4033.6332000000002</v>
      </c>
      <c r="E36" s="34">
        <f>SUM(E32:E35)</f>
        <v>4033.6332000000002</v>
      </c>
      <c r="G36" s="188">
        <f>SUM(G32:G35)</f>
        <v>0</v>
      </c>
      <c r="H36" s="34">
        <f>SUM(H32:H35)</f>
        <v>386.36</v>
      </c>
      <c r="J36" s="188">
        <f>SUM(J32:J35)</f>
        <v>5250</v>
      </c>
      <c r="K36" s="34">
        <f>SUM(K32:K35)</f>
        <v>5250</v>
      </c>
    </row>
    <row r="39" spans="1:11" x14ac:dyDescent="0.25">
      <c r="A39" s="464">
        <v>423</v>
      </c>
      <c r="B39" s="464"/>
      <c r="D39" s="464">
        <v>451</v>
      </c>
      <c r="E39" s="464"/>
      <c r="G39" s="464">
        <v>469</v>
      </c>
      <c r="H39" s="464"/>
      <c r="J39" s="464">
        <v>503</v>
      </c>
      <c r="K39" s="464"/>
    </row>
    <row r="40" spans="1:11" x14ac:dyDescent="0.25">
      <c r="A40" s="182">
        <f>+DIARIO!P144</f>
        <v>6000</v>
      </c>
      <c r="B40" s="183">
        <f>+DIARIO!P48</f>
        <v>6000</v>
      </c>
      <c r="D40" s="182">
        <f>+DIARIO!P146</f>
        <v>20000</v>
      </c>
      <c r="E40" s="183">
        <f>+DIARIO!P55</f>
        <v>1407.56</v>
      </c>
      <c r="G40" s="182"/>
      <c r="H40" s="183">
        <f>+DIARIO!P95</f>
        <v>1224</v>
      </c>
      <c r="J40" s="182"/>
      <c r="K40" s="183">
        <f>+DIARIO!P50</f>
        <v>358153.6</v>
      </c>
    </row>
    <row r="41" spans="1:11" x14ac:dyDescent="0.25">
      <c r="A41" s="184"/>
      <c r="B41" s="185"/>
      <c r="D41" s="184"/>
      <c r="E41" s="185">
        <f>+DIARIO!P116</f>
        <v>18592.439999999999</v>
      </c>
      <c r="G41" s="184"/>
      <c r="H41" s="185"/>
      <c r="J41" s="184"/>
      <c r="K41" s="185"/>
    </row>
    <row r="42" spans="1:11" x14ac:dyDescent="0.25">
      <c r="A42" s="184"/>
      <c r="B42" s="185"/>
      <c r="D42" s="184"/>
      <c r="E42" s="185"/>
      <c r="G42" s="184"/>
      <c r="H42" s="185"/>
      <c r="J42" s="184"/>
      <c r="K42" s="185"/>
    </row>
    <row r="43" spans="1:11" ht="15.75" thickBot="1" x14ac:dyDescent="0.3">
      <c r="A43" s="186"/>
      <c r="B43" s="187"/>
      <c r="D43" s="186"/>
      <c r="E43" s="187"/>
      <c r="G43" s="186"/>
      <c r="H43" s="187"/>
      <c r="J43" s="186"/>
      <c r="K43" s="187"/>
    </row>
    <row r="44" spans="1:11" x14ac:dyDescent="0.25">
      <c r="A44" s="188">
        <f>SUM(A40:A43)</f>
        <v>6000</v>
      </c>
      <c r="B44" s="34">
        <f>SUM(B40:B43)</f>
        <v>6000</v>
      </c>
      <c r="D44" s="188">
        <f>SUM(D40:D43)</f>
        <v>20000</v>
      </c>
      <c r="E44" s="34">
        <f>SUM(E40:E43)</f>
        <v>20000</v>
      </c>
      <c r="G44" s="188">
        <f>SUM(G40:G43)</f>
        <v>0</v>
      </c>
      <c r="H44" s="34">
        <f>SUM(H40:H43)</f>
        <v>1224</v>
      </c>
      <c r="J44" s="188">
        <f>SUM(J40:J43)</f>
        <v>0</v>
      </c>
      <c r="K44" s="34">
        <f>SUM(K40:K43)</f>
        <v>358153.6</v>
      </c>
    </row>
    <row r="47" spans="1:11" x14ac:dyDescent="0.25">
      <c r="A47" s="464">
        <v>604</v>
      </c>
      <c r="B47" s="464"/>
      <c r="D47" s="464">
        <v>612</v>
      </c>
      <c r="E47" s="464"/>
      <c r="G47" s="464" t="s">
        <v>343</v>
      </c>
      <c r="H47" s="464"/>
      <c r="J47" s="464">
        <v>614</v>
      </c>
      <c r="K47" s="464"/>
    </row>
    <row r="48" spans="1:11" x14ac:dyDescent="0.25">
      <c r="A48" s="182">
        <f>+DIARIO!P58</f>
        <v>250</v>
      </c>
      <c r="B48" s="183"/>
      <c r="D48" s="182">
        <f>+DIARIO!P154</f>
        <v>1200</v>
      </c>
      <c r="E48" s="183"/>
      <c r="G48" s="182">
        <f>+DIARIO!P156</f>
        <v>5503.6</v>
      </c>
      <c r="H48" s="183"/>
      <c r="J48" s="182">
        <f>+DIARIO!P161</f>
        <v>250</v>
      </c>
      <c r="K48" s="183">
        <f>+DIARIO!P65</f>
        <v>250</v>
      </c>
    </row>
    <row r="49" spans="1:11" x14ac:dyDescent="0.25">
      <c r="A49" s="184"/>
      <c r="B49" s="185"/>
      <c r="D49" s="184"/>
      <c r="E49" s="185"/>
      <c r="G49" s="184"/>
      <c r="H49" s="185"/>
      <c r="J49" s="184"/>
      <c r="K49" s="185"/>
    </row>
    <row r="50" spans="1:11" x14ac:dyDescent="0.25">
      <c r="A50" s="184"/>
      <c r="B50" s="185"/>
      <c r="D50" s="184"/>
      <c r="E50" s="185"/>
      <c r="G50" s="184"/>
      <c r="H50" s="185"/>
      <c r="J50" s="184"/>
      <c r="K50" s="185"/>
    </row>
    <row r="51" spans="1:11" ht="15.75" thickBot="1" x14ac:dyDescent="0.3">
      <c r="A51" s="186"/>
      <c r="B51" s="187"/>
      <c r="D51" s="186"/>
      <c r="E51" s="187"/>
      <c r="G51" s="186"/>
      <c r="H51" s="187"/>
      <c r="J51" s="186"/>
      <c r="K51" s="187"/>
    </row>
    <row r="52" spans="1:11" x14ac:dyDescent="0.25">
      <c r="A52" s="188">
        <f>SUM(A48:A51)</f>
        <v>250</v>
      </c>
      <c r="B52" s="34">
        <f>SUM(B48:B51)</f>
        <v>0</v>
      </c>
      <c r="D52" s="188">
        <f>SUM(D48:D51)</f>
        <v>1200</v>
      </c>
      <c r="E52" s="34">
        <f>SUM(E48:E51)</f>
        <v>0</v>
      </c>
      <c r="G52" s="188">
        <f>SUM(G48:G51)</f>
        <v>5503.6</v>
      </c>
      <c r="H52" s="34">
        <f>SUM(H48:H51)</f>
        <v>0</v>
      </c>
      <c r="J52" s="188">
        <f>SUM(J48:J51)</f>
        <v>250</v>
      </c>
      <c r="K52" s="34">
        <f>SUM(K48:K51)</f>
        <v>250</v>
      </c>
    </row>
    <row r="55" spans="1:11" x14ac:dyDescent="0.25">
      <c r="A55" s="464">
        <v>621</v>
      </c>
      <c r="B55" s="464"/>
      <c r="D55" s="464">
        <v>627</v>
      </c>
      <c r="E55" s="464"/>
      <c r="G55" s="464">
        <v>629</v>
      </c>
      <c r="H55" s="464"/>
      <c r="J55" s="464">
        <v>631</v>
      </c>
      <c r="K55" s="464"/>
    </row>
    <row r="56" spans="1:11" x14ac:dyDescent="0.25">
      <c r="A56" s="182">
        <f>+DIARIO!P68</f>
        <v>4636.3599999999997</v>
      </c>
      <c r="B56" s="249"/>
      <c r="D56" s="182">
        <f>+DIARIO!P71</f>
        <v>185.45439999999999</v>
      </c>
      <c r="E56" s="183"/>
      <c r="G56" s="182">
        <f>+DIARIO!P183</f>
        <v>386.36</v>
      </c>
      <c r="H56" s="183"/>
      <c r="J56" s="182">
        <f>+DIARIO!P85</f>
        <v>150</v>
      </c>
      <c r="K56" s="183"/>
    </row>
    <row r="57" spans="1:11" x14ac:dyDescent="0.25">
      <c r="A57" s="184"/>
      <c r="B57" s="250"/>
      <c r="D57" s="184"/>
      <c r="E57" s="185"/>
      <c r="G57" s="184"/>
      <c r="H57" s="185"/>
      <c r="J57" s="184"/>
      <c r="K57" s="185"/>
    </row>
    <row r="58" spans="1:11" x14ac:dyDescent="0.25">
      <c r="A58" s="184"/>
      <c r="B58" s="185"/>
      <c r="D58" s="184"/>
      <c r="E58" s="185"/>
      <c r="G58" s="184"/>
      <c r="H58" s="185"/>
      <c r="J58" s="184"/>
      <c r="K58" s="185"/>
    </row>
    <row r="59" spans="1:11" ht="15.75" thickBot="1" x14ac:dyDescent="0.3">
      <c r="A59" s="186"/>
      <c r="B59" s="187"/>
      <c r="D59" s="186"/>
      <c r="E59" s="187"/>
      <c r="G59" s="186"/>
      <c r="H59" s="187"/>
      <c r="J59" s="186"/>
      <c r="K59" s="187"/>
    </row>
    <row r="60" spans="1:11" x14ac:dyDescent="0.25">
      <c r="A60" s="188">
        <f>SUM(A56:A59)</f>
        <v>4636.3599999999997</v>
      </c>
      <c r="B60" s="34">
        <f>SUM(B56:B59)</f>
        <v>0</v>
      </c>
      <c r="D60" s="188">
        <f>SUM(D56:D59)</f>
        <v>185.45439999999999</v>
      </c>
      <c r="E60" s="34">
        <f>SUM(E56:E59)</f>
        <v>0</v>
      </c>
      <c r="G60" s="188">
        <f>SUM(G56:G59)</f>
        <v>386.36</v>
      </c>
      <c r="H60" s="34">
        <f>SUM(H56:H59)</f>
        <v>0</v>
      </c>
      <c r="J60" s="188">
        <f>SUM(J56:J59)</f>
        <v>150</v>
      </c>
      <c r="K60" s="34">
        <f>SUM(K56:K59)</f>
        <v>0</v>
      </c>
    </row>
    <row r="63" spans="1:11" x14ac:dyDescent="0.25">
      <c r="A63" s="464">
        <v>634</v>
      </c>
      <c r="B63" s="464"/>
      <c r="D63" s="464">
        <v>635</v>
      </c>
      <c r="E63" s="464"/>
      <c r="G63" s="464">
        <v>636</v>
      </c>
      <c r="H63" s="464"/>
      <c r="J63" s="464">
        <v>644</v>
      </c>
      <c r="K63" s="464"/>
    </row>
    <row r="64" spans="1:11" x14ac:dyDescent="0.25">
      <c r="A64" s="182">
        <f>+DIARIO!P88</f>
        <v>80</v>
      </c>
      <c r="B64" s="183"/>
      <c r="D64" s="182">
        <f>+DIARIO!P90</f>
        <v>864</v>
      </c>
      <c r="E64" s="183"/>
      <c r="G64" s="182">
        <f>+DIARIO!P92</f>
        <v>130</v>
      </c>
      <c r="H64" s="183"/>
      <c r="J64" s="182">
        <f>+DIARIO!P98</f>
        <v>32.9</v>
      </c>
      <c r="K64" s="183"/>
    </row>
    <row r="65" spans="1:11" x14ac:dyDescent="0.25">
      <c r="A65" s="184"/>
      <c r="B65" s="185"/>
      <c r="D65" s="184"/>
      <c r="E65" s="185"/>
      <c r="G65" s="184"/>
      <c r="H65" s="185"/>
      <c r="J65" s="184"/>
      <c r="K65" s="185"/>
    </row>
    <row r="66" spans="1:11" x14ac:dyDescent="0.25">
      <c r="A66" s="184"/>
      <c r="B66" s="185"/>
      <c r="D66" s="184"/>
      <c r="E66" s="185"/>
      <c r="G66" s="184"/>
      <c r="H66" s="185"/>
      <c r="J66" s="184"/>
      <c r="K66" s="185"/>
    </row>
    <row r="67" spans="1:11" ht="15.75" thickBot="1" x14ac:dyDescent="0.3">
      <c r="A67" s="186"/>
      <c r="B67" s="187"/>
      <c r="D67" s="186"/>
      <c r="E67" s="187"/>
      <c r="G67" s="186"/>
      <c r="H67" s="187"/>
      <c r="J67" s="186"/>
      <c r="K67" s="187"/>
    </row>
    <row r="68" spans="1:11" x14ac:dyDescent="0.25">
      <c r="A68" s="188">
        <f>SUM(A64:A67)</f>
        <v>80</v>
      </c>
      <c r="B68" s="34">
        <f>SUM(B64:B67)</f>
        <v>0</v>
      </c>
      <c r="D68" s="188">
        <f>SUM(D64:D67)</f>
        <v>864</v>
      </c>
      <c r="E68" s="34">
        <f>SUM(E64:E67)</f>
        <v>0</v>
      </c>
      <c r="G68" s="188">
        <f>SUM(G64:G67)</f>
        <v>130</v>
      </c>
      <c r="H68" s="34">
        <f>SUM(H64:H67)</f>
        <v>0</v>
      </c>
      <c r="J68" s="188">
        <f>SUM(J64:J67)</f>
        <v>32.9</v>
      </c>
      <c r="K68" s="34">
        <f>SUM(K64:K67)</f>
        <v>0</v>
      </c>
    </row>
    <row r="71" spans="1:11" x14ac:dyDescent="0.25">
      <c r="A71" s="464">
        <v>679</v>
      </c>
      <c r="B71" s="464"/>
      <c r="D71" s="464">
        <v>681</v>
      </c>
      <c r="E71" s="464"/>
      <c r="G71" s="464">
        <v>702</v>
      </c>
      <c r="H71" s="464"/>
    </row>
    <row r="72" spans="1:11" x14ac:dyDescent="0.25">
      <c r="A72" s="182">
        <f>+DIARIO!P148</f>
        <v>50</v>
      </c>
      <c r="B72" s="183"/>
      <c r="D72" s="182">
        <f>+DIARIO!P176</f>
        <v>4216.6666666666661</v>
      </c>
      <c r="E72" s="183"/>
      <c r="G72" s="182"/>
      <c r="H72" s="183">
        <f>+DIARIO!P107</f>
        <v>35000</v>
      </c>
    </row>
    <row r="73" spans="1:11" x14ac:dyDescent="0.25">
      <c r="A73" s="184"/>
      <c r="B73" s="185"/>
      <c r="D73" s="184"/>
      <c r="E73" s="185"/>
      <c r="G73" s="184"/>
      <c r="H73" s="185"/>
    </row>
    <row r="74" spans="1:11" x14ac:dyDescent="0.25">
      <c r="A74" s="184"/>
      <c r="B74" s="185"/>
      <c r="D74" s="184"/>
      <c r="E74" s="185"/>
      <c r="G74" s="184"/>
      <c r="H74" s="185"/>
    </row>
    <row r="75" spans="1:11" ht="15.75" thickBot="1" x14ac:dyDescent="0.3">
      <c r="A75" s="186"/>
      <c r="B75" s="187"/>
      <c r="D75" s="186"/>
      <c r="E75" s="187"/>
      <c r="G75" s="186"/>
      <c r="H75" s="187"/>
    </row>
    <row r="76" spans="1:11" x14ac:dyDescent="0.25">
      <c r="A76" s="188">
        <f>SUM(A72:A75)</f>
        <v>50</v>
      </c>
      <c r="B76" s="34">
        <f>SUM(B72:B75)</f>
        <v>0</v>
      </c>
      <c r="D76" s="188">
        <f>SUM(D72:D75)</f>
        <v>4216.6666666666661</v>
      </c>
      <c r="E76" s="34">
        <f>SUM(E72:E75)</f>
        <v>0</v>
      </c>
      <c r="G76" s="188">
        <f>SUM(G72:G75)</f>
        <v>0</v>
      </c>
      <c r="H76" s="34">
        <f>SUM(H72:H75)</f>
        <v>35000</v>
      </c>
    </row>
    <row r="78" spans="1:11" x14ac:dyDescent="0.25">
      <c r="A78" s="465" t="s">
        <v>341</v>
      </c>
      <c r="B78" s="465"/>
      <c r="G78" s="464"/>
      <c r="H78" s="464"/>
      <c r="J78" s="464"/>
      <c r="K78" s="464"/>
    </row>
    <row r="79" spans="1:11" x14ac:dyDescent="0.25">
      <c r="A79" s="182">
        <f>+D48</f>
        <v>1200</v>
      </c>
      <c r="B79" s="183"/>
      <c r="G79" s="182"/>
      <c r="H79" s="183"/>
      <c r="J79" s="182"/>
      <c r="K79" s="183"/>
    </row>
    <row r="80" spans="1:11" x14ac:dyDescent="0.25">
      <c r="A80" s="184"/>
      <c r="B80" s="185"/>
      <c r="G80" s="184"/>
      <c r="H80" s="185"/>
      <c r="J80" s="184"/>
      <c r="K80" s="185"/>
    </row>
    <row r="81" spans="1:11" x14ac:dyDescent="0.25">
      <c r="A81" s="184"/>
      <c r="B81" s="185"/>
      <c r="G81" s="184"/>
      <c r="H81" s="185"/>
      <c r="J81" s="184"/>
      <c r="K81" s="185"/>
    </row>
    <row r="82" spans="1:11" ht="15.75" thickBot="1" x14ac:dyDescent="0.3">
      <c r="A82" s="186"/>
      <c r="B82" s="187"/>
      <c r="G82" s="186"/>
      <c r="H82" s="187"/>
      <c r="J82" s="186"/>
      <c r="K82" s="187"/>
    </row>
    <row r="83" spans="1:11" x14ac:dyDescent="0.25">
      <c r="A83" s="188">
        <f>SUM(A79:A82)</f>
        <v>1200</v>
      </c>
      <c r="B83" s="34">
        <f>SUM(B79:B82)</f>
        <v>0</v>
      </c>
      <c r="G83" s="188"/>
      <c r="H83" s="34"/>
      <c r="J83" s="188"/>
      <c r="K83" s="34"/>
    </row>
    <row r="86" spans="1:11" x14ac:dyDescent="0.25">
      <c r="A86" s="464"/>
      <c r="B86" s="464"/>
      <c r="D86" s="464"/>
      <c r="E86" s="464"/>
      <c r="G86" s="464"/>
      <c r="H86" s="464"/>
      <c r="J86" s="464"/>
      <c r="K86" s="464"/>
    </row>
    <row r="87" spans="1:11" x14ac:dyDescent="0.25">
      <c r="A87" s="182"/>
      <c r="B87" s="183"/>
      <c r="D87" s="182"/>
      <c r="E87" s="183"/>
      <c r="G87" s="182"/>
      <c r="H87" s="183"/>
      <c r="J87" s="182"/>
      <c r="K87" s="183"/>
    </row>
    <row r="88" spans="1:11" x14ac:dyDescent="0.25">
      <c r="A88" s="184"/>
      <c r="B88" s="185"/>
      <c r="D88" s="184"/>
      <c r="E88" s="185"/>
      <c r="G88" s="184"/>
      <c r="H88" s="185"/>
      <c r="J88" s="184"/>
      <c r="K88" s="185"/>
    </row>
    <row r="89" spans="1:11" x14ac:dyDescent="0.25">
      <c r="A89" s="184"/>
      <c r="B89" s="185"/>
      <c r="D89" s="184"/>
      <c r="E89" s="185"/>
      <c r="G89" s="184"/>
      <c r="H89" s="185"/>
      <c r="J89" s="184"/>
      <c r="K89" s="185"/>
    </row>
    <row r="90" spans="1:11" ht="15.75" thickBot="1" x14ac:dyDescent="0.3">
      <c r="A90" s="186"/>
      <c r="B90" s="187"/>
      <c r="D90" s="186"/>
      <c r="E90" s="187"/>
      <c r="G90" s="186"/>
      <c r="H90" s="187"/>
      <c r="J90" s="186"/>
      <c r="K90" s="187"/>
    </row>
    <row r="91" spans="1:11" x14ac:dyDescent="0.25">
      <c r="A91" s="188"/>
      <c r="B91" s="34"/>
      <c r="D91" s="188"/>
      <c r="E91" s="34"/>
      <c r="G91" s="188"/>
      <c r="H91" s="34"/>
      <c r="J91" s="188"/>
      <c r="K91" s="34"/>
    </row>
  </sheetData>
  <mergeCells count="42">
    <mergeCell ref="A86:B86"/>
    <mergeCell ref="D86:E86"/>
    <mergeCell ref="G86:H86"/>
    <mergeCell ref="J86:K86"/>
    <mergeCell ref="D63:E63"/>
    <mergeCell ref="G63:H63"/>
    <mergeCell ref="J63:K63"/>
    <mergeCell ref="A71:B71"/>
    <mergeCell ref="G71:H71"/>
    <mergeCell ref="G78:H78"/>
    <mergeCell ref="J78:K78"/>
    <mergeCell ref="D71:E71"/>
    <mergeCell ref="A63:B63"/>
    <mergeCell ref="A78:B78"/>
    <mergeCell ref="A47:B47"/>
    <mergeCell ref="J47:K47"/>
    <mergeCell ref="A55:B55"/>
    <mergeCell ref="D55:E55"/>
    <mergeCell ref="J55:K55"/>
    <mergeCell ref="D47:E47"/>
    <mergeCell ref="G47:H47"/>
    <mergeCell ref="G55:H55"/>
    <mergeCell ref="J31:K31"/>
    <mergeCell ref="A39:B39"/>
    <mergeCell ref="D39:E39"/>
    <mergeCell ref="J23:K23"/>
    <mergeCell ref="G31:H31"/>
    <mergeCell ref="A23:B23"/>
    <mergeCell ref="D23:E23"/>
    <mergeCell ref="G23:H23"/>
    <mergeCell ref="A31:B31"/>
    <mergeCell ref="D31:E31"/>
    <mergeCell ref="G39:H39"/>
    <mergeCell ref="J39:K39"/>
    <mergeCell ref="A2:B2"/>
    <mergeCell ref="D2:E2"/>
    <mergeCell ref="G2:H2"/>
    <mergeCell ref="J2:K2"/>
    <mergeCell ref="A15:B15"/>
    <mergeCell ref="D15:E15"/>
    <mergeCell ref="G15:H15"/>
    <mergeCell ref="J15:K15"/>
  </mergeCells>
  <pageMargins left="0.70866141732283472" right="0.70866141732283472" top="0.74803149606299213" bottom="0.74803149606299213" header="0.31496062992125984" footer="0.31496062992125984"/>
  <pageSetup scale="75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tabSelected="1" zoomScale="130" zoomScaleNormal="13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7" sqref="C7"/>
    </sheetView>
  </sheetViews>
  <sheetFormatPr baseColWidth="10" defaultRowHeight="15" x14ac:dyDescent="0.25"/>
  <cols>
    <col min="1" max="1" width="1.7109375" customWidth="1"/>
    <col min="2" max="2" width="3.85546875" style="181" customWidth="1"/>
    <col min="3" max="3" width="36.5703125" customWidth="1"/>
    <col min="4" max="4" width="10.5703125" customWidth="1"/>
    <col min="5" max="6" width="10.28515625" bestFit="1" customWidth="1"/>
    <col min="7" max="7" width="10.42578125" bestFit="1" customWidth="1"/>
    <col min="8" max="8" width="8.7109375" bestFit="1" customWidth="1"/>
    <col min="9" max="9" width="11.140625" bestFit="1" customWidth="1"/>
    <col min="10" max="10" width="9.85546875" bestFit="1" customWidth="1"/>
    <col min="11" max="11" width="11" customWidth="1"/>
    <col min="12" max="12" width="9.85546875" bestFit="1" customWidth="1"/>
    <col min="13" max="13" width="14.28515625" customWidth="1"/>
  </cols>
  <sheetData>
    <row r="1" spans="2:13" x14ac:dyDescent="0.25"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2:13" ht="18" x14ac:dyDescent="0.25">
      <c r="B2" s="471" t="s">
        <v>230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</row>
    <row r="3" spans="2:13" x14ac:dyDescent="0.25">
      <c r="B3" s="472" t="s">
        <v>231</v>
      </c>
      <c r="C3" s="473" t="s">
        <v>344</v>
      </c>
      <c r="D3" s="476" t="s">
        <v>232</v>
      </c>
      <c r="E3" s="476" t="s">
        <v>233</v>
      </c>
      <c r="F3" s="476" t="s">
        <v>234</v>
      </c>
      <c r="G3" s="478" t="s">
        <v>235</v>
      </c>
      <c r="H3" s="478"/>
      <c r="I3" s="478"/>
      <c r="J3" s="478"/>
      <c r="K3" s="478"/>
      <c r="L3" s="478"/>
      <c r="M3" s="479" t="s">
        <v>236</v>
      </c>
    </row>
    <row r="4" spans="2:13" x14ac:dyDescent="0.25">
      <c r="B4" s="472"/>
      <c r="C4" s="474"/>
      <c r="D4" s="477"/>
      <c r="E4" s="477"/>
      <c r="F4" s="477"/>
      <c r="G4" s="470" t="s">
        <v>237</v>
      </c>
      <c r="H4" s="467" t="s">
        <v>238</v>
      </c>
      <c r="I4" s="467" t="s">
        <v>239</v>
      </c>
      <c r="J4" s="468" t="s">
        <v>240</v>
      </c>
      <c r="K4" s="470" t="s">
        <v>241</v>
      </c>
      <c r="L4" s="467" t="s">
        <v>242</v>
      </c>
      <c r="M4" s="480"/>
    </row>
    <row r="5" spans="2:13" x14ac:dyDescent="0.25">
      <c r="B5" s="472"/>
      <c r="C5" s="475"/>
      <c r="D5" s="477"/>
      <c r="E5" s="477"/>
      <c r="F5" s="477"/>
      <c r="G5" s="467"/>
      <c r="H5" s="467"/>
      <c r="I5" s="467"/>
      <c r="J5" s="469"/>
      <c r="K5" s="467"/>
      <c r="L5" s="467"/>
      <c r="M5" s="481"/>
    </row>
    <row r="6" spans="2:13" x14ac:dyDescent="0.25">
      <c r="B6" s="224">
        <v>1</v>
      </c>
      <c r="C6" s="302" t="s">
        <v>342</v>
      </c>
      <c r="D6" s="213">
        <f>+DIARIO!P154</f>
        <v>1200</v>
      </c>
      <c r="E6" s="213"/>
      <c r="F6" s="213"/>
      <c r="G6" s="213"/>
      <c r="H6" s="213"/>
      <c r="I6" s="213"/>
      <c r="J6" s="213"/>
      <c r="K6" s="213"/>
      <c r="L6" s="213"/>
      <c r="M6" s="215" t="s">
        <v>243</v>
      </c>
    </row>
    <row r="7" spans="2:13" x14ac:dyDescent="0.25">
      <c r="B7" s="224"/>
      <c r="C7" s="492" t="s">
        <v>374</v>
      </c>
      <c r="D7" s="213"/>
      <c r="E7" s="213">
        <f>+D6</f>
        <v>1200</v>
      </c>
      <c r="F7" s="213"/>
      <c r="G7" s="213"/>
      <c r="H7" s="213">
        <f>+E7</f>
        <v>1200</v>
      </c>
      <c r="I7" s="213"/>
      <c r="J7" s="213"/>
      <c r="K7" s="213"/>
      <c r="L7" s="213"/>
      <c r="M7" s="215"/>
    </row>
    <row r="8" spans="2:13" x14ac:dyDescent="0.25">
      <c r="B8" s="224">
        <v>2</v>
      </c>
      <c r="C8" s="303" t="s">
        <v>40</v>
      </c>
      <c r="D8" s="213"/>
      <c r="E8" s="213"/>
      <c r="F8" s="213"/>
      <c r="G8" s="213"/>
      <c r="H8" s="213"/>
      <c r="I8" s="214"/>
      <c r="J8" s="213"/>
      <c r="K8" s="213"/>
      <c r="L8" s="213"/>
      <c r="M8" s="215"/>
    </row>
    <row r="9" spans="2:13" x14ac:dyDescent="0.25">
      <c r="B9" s="224"/>
      <c r="C9" s="299" t="s">
        <v>244</v>
      </c>
      <c r="D9" s="213">
        <f>SUM(E10:E13)</f>
        <v>3663.6</v>
      </c>
      <c r="E9" s="213"/>
      <c r="F9" s="213"/>
      <c r="G9" s="213"/>
      <c r="H9" s="213"/>
      <c r="I9" s="214"/>
      <c r="J9" s="213"/>
      <c r="K9" s="213"/>
      <c r="L9" s="213"/>
      <c r="M9" s="215" t="s">
        <v>243</v>
      </c>
    </row>
    <row r="10" spans="2:13" x14ac:dyDescent="0.25">
      <c r="B10" s="224"/>
      <c r="C10" s="212" t="s">
        <v>245</v>
      </c>
      <c r="D10" s="213"/>
      <c r="E10" s="213">
        <f>+DIARIO!N23</f>
        <v>378</v>
      </c>
      <c r="F10" s="213"/>
      <c r="G10" s="213"/>
      <c r="H10" s="213"/>
      <c r="I10" s="300">
        <f>+E10</f>
        <v>378</v>
      </c>
      <c r="J10" s="213"/>
      <c r="K10" s="213"/>
      <c r="L10" s="213"/>
      <c r="M10" s="215" t="s">
        <v>243</v>
      </c>
    </row>
    <row r="11" spans="2:13" x14ac:dyDescent="0.25">
      <c r="B11" s="224"/>
      <c r="C11" s="212" t="s">
        <v>246</v>
      </c>
      <c r="D11" s="213"/>
      <c r="E11" s="213">
        <f>+DIARIO!N24</f>
        <v>795.6</v>
      </c>
      <c r="F11" s="213"/>
      <c r="G11" s="213"/>
      <c r="H11" s="213"/>
      <c r="I11" s="300">
        <f>+E11</f>
        <v>795.6</v>
      </c>
      <c r="J11" s="213"/>
      <c r="K11" s="213"/>
      <c r="L11" s="213"/>
      <c r="M11" s="215" t="s">
        <v>243</v>
      </c>
    </row>
    <row r="12" spans="2:13" x14ac:dyDescent="0.25">
      <c r="B12" s="224"/>
      <c r="C12" s="212" t="s">
        <v>247</v>
      </c>
      <c r="D12" s="213"/>
      <c r="E12" s="213">
        <f>+DIARIO!N25</f>
        <v>490</v>
      </c>
      <c r="F12" s="213"/>
      <c r="G12" s="213"/>
      <c r="H12" s="213"/>
      <c r="I12" s="300">
        <f t="shared" ref="I12" si="0">+E12</f>
        <v>490</v>
      </c>
      <c r="J12" s="213"/>
      <c r="K12" s="213"/>
      <c r="L12" s="213"/>
      <c r="M12" s="215" t="s">
        <v>243</v>
      </c>
    </row>
    <row r="13" spans="2:13" x14ac:dyDescent="0.25">
      <c r="B13" s="224"/>
      <c r="C13" s="212" t="s">
        <v>248</v>
      </c>
      <c r="D13" s="213"/>
      <c r="E13" s="213">
        <f>+DIARIO!N26</f>
        <v>2000</v>
      </c>
      <c r="F13" s="213"/>
      <c r="G13" s="213"/>
      <c r="H13" s="213"/>
      <c r="I13" s="300">
        <f>+E13</f>
        <v>2000</v>
      </c>
      <c r="J13" s="213"/>
      <c r="K13" s="213"/>
      <c r="L13" s="213"/>
      <c r="M13" s="215" t="s">
        <v>243</v>
      </c>
    </row>
    <row r="14" spans="2:13" x14ac:dyDescent="0.25">
      <c r="B14" s="224"/>
      <c r="C14" s="299" t="s">
        <v>249</v>
      </c>
      <c r="D14" s="213">
        <f>SUM(E15:E21)</f>
        <v>1130</v>
      </c>
      <c r="E14" s="213"/>
      <c r="F14" s="213"/>
      <c r="G14" s="213"/>
      <c r="H14" s="213"/>
      <c r="I14" s="214"/>
      <c r="J14" s="213"/>
      <c r="K14" s="213"/>
      <c r="L14" s="213"/>
      <c r="M14" s="215"/>
    </row>
    <row r="15" spans="2:13" x14ac:dyDescent="0.25">
      <c r="B15" s="224"/>
      <c r="C15" s="212" t="s">
        <v>295</v>
      </c>
      <c r="D15" s="213"/>
      <c r="E15" s="213">
        <f>+DIARIO!N28</f>
        <v>100</v>
      </c>
      <c r="F15" s="213"/>
      <c r="G15" s="213"/>
      <c r="H15" s="213"/>
      <c r="I15" s="214"/>
      <c r="J15" s="213"/>
      <c r="K15" s="213">
        <f>+E15</f>
        <v>100</v>
      </c>
      <c r="L15" s="213"/>
      <c r="M15" s="215" t="s">
        <v>250</v>
      </c>
    </row>
    <row r="16" spans="2:13" x14ac:dyDescent="0.25">
      <c r="B16" s="224"/>
      <c r="C16" s="252" t="s">
        <v>305</v>
      </c>
      <c r="D16" s="213"/>
      <c r="E16" s="213">
        <f>+DIARIO!N29</f>
        <v>120</v>
      </c>
      <c r="F16" s="213"/>
      <c r="G16" s="213"/>
      <c r="H16" s="213"/>
      <c r="I16" s="214"/>
      <c r="J16" s="213"/>
      <c r="K16" s="213">
        <f t="shared" ref="K16:K18" si="1">+E16</f>
        <v>120</v>
      </c>
      <c r="L16" s="213"/>
      <c r="M16" s="215" t="s">
        <v>250</v>
      </c>
    </row>
    <row r="17" spans="2:14" x14ac:dyDescent="0.25">
      <c r="B17" s="224"/>
      <c r="C17" s="252" t="s">
        <v>296</v>
      </c>
      <c r="D17" s="213"/>
      <c r="E17" s="213">
        <f>+DIARIO!N30</f>
        <v>140</v>
      </c>
      <c r="F17" s="213"/>
      <c r="G17" s="213"/>
      <c r="H17" s="213"/>
      <c r="I17" s="214"/>
      <c r="J17" s="213"/>
      <c r="K17" s="213">
        <f t="shared" si="1"/>
        <v>140</v>
      </c>
      <c r="L17" s="213"/>
      <c r="M17" s="215" t="s">
        <v>250</v>
      </c>
    </row>
    <row r="18" spans="2:14" x14ac:dyDescent="0.25">
      <c r="B18" s="224"/>
      <c r="C18" s="252" t="s">
        <v>304</v>
      </c>
      <c r="D18" s="213"/>
      <c r="E18" s="213">
        <f>+DIARIO!N31</f>
        <v>240</v>
      </c>
      <c r="F18" s="213"/>
      <c r="G18" s="213"/>
      <c r="H18" s="213"/>
      <c r="I18" s="214"/>
      <c r="J18" s="213"/>
      <c r="K18" s="213">
        <f t="shared" si="1"/>
        <v>240</v>
      </c>
      <c r="L18" s="213"/>
      <c r="M18" s="215" t="s">
        <v>243</v>
      </c>
    </row>
    <row r="19" spans="2:14" x14ac:dyDescent="0.25">
      <c r="B19" s="224"/>
      <c r="C19" s="252" t="s">
        <v>297</v>
      </c>
      <c r="D19" s="213"/>
      <c r="E19" s="213">
        <f>+DIARIO!N32</f>
        <v>210</v>
      </c>
      <c r="F19" s="213"/>
      <c r="G19" s="213"/>
      <c r="H19" s="213"/>
      <c r="I19" s="214"/>
      <c r="J19" s="213"/>
      <c r="K19" s="213">
        <f>+E19</f>
        <v>210</v>
      </c>
      <c r="L19" s="213"/>
      <c r="M19" s="215" t="s">
        <v>250</v>
      </c>
    </row>
    <row r="20" spans="2:14" x14ac:dyDescent="0.25">
      <c r="B20" s="224"/>
      <c r="C20" s="212" t="s">
        <v>298</v>
      </c>
      <c r="D20" s="213"/>
      <c r="E20" s="213">
        <f>+DIARIO!N33</f>
        <v>300</v>
      </c>
      <c r="F20" s="213"/>
      <c r="G20" s="213"/>
      <c r="H20" s="213"/>
      <c r="I20" s="214"/>
      <c r="J20" s="213"/>
      <c r="K20" s="213">
        <f>+E20</f>
        <v>300</v>
      </c>
      <c r="L20" s="213"/>
      <c r="M20" s="215"/>
    </row>
    <row r="21" spans="2:14" x14ac:dyDescent="0.25">
      <c r="B21" s="224"/>
      <c r="C21" s="212" t="s">
        <v>299</v>
      </c>
      <c r="D21" s="213"/>
      <c r="E21" s="213">
        <f>+DIARIO!N34</f>
        <v>20</v>
      </c>
      <c r="F21" s="213"/>
      <c r="G21" s="213"/>
      <c r="H21" s="213"/>
      <c r="I21" s="214"/>
      <c r="J21" s="213"/>
      <c r="K21" s="213">
        <f>+E21</f>
        <v>20</v>
      </c>
      <c r="L21" s="213"/>
      <c r="M21" s="215"/>
    </row>
    <row r="22" spans="2:14" x14ac:dyDescent="0.25">
      <c r="B22" s="224"/>
      <c r="C22" s="299" t="s">
        <v>251</v>
      </c>
      <c r="D22" s="213">
        <f>SUM(E23:E25)</f>
        <v>710</v>
      </c>
      <c r="E22" s="208"/>
      <c r="F22" s="213"/>
      <c r="G22" s="213"/>
      <c r="H22" s="213"/>
      <c r="I22" s="214"/>
      <c r="J22" s="213"/>
      <c r="K22" s="213"/>
      <c r="L22" s="213"/>
      <c r="M22" s="215"/>
    </row>
    <row r="23" spans="2:14" x14ac:dyDescent="0.25">
      <c r="B23" s="224"/>
      <c r="C23" s="212" t="s">
        <v>252</v>
      </c>
      <c r="D23" s="213"/>
      <c r="E23" s="213">
        <f>+DIARIO!N36</f>
        <v>250</v>
      </c>
      <c r="F23" s="213"/>
      <c r="G23" s="213">
        <f>(250/30)*10</f>
        <v>83.333333333333343</v>
      </c>
      <c r="H23" s="213">
        <f>(250/30)*14</f>
        <v>116.66666666666667</v>
      </c>
      <c r="I23" s="213">
        <f>(250/30)*6</f>
        <v>50</v>
      </c>
      <c r="J23" s="213"/>
      <c r="K23" s="213"/>
      <c r="L23" s="213"/>
      <c r="M23" s="215" t="s">
        <v>253</v>
      </c>
    </row>
    <row r="24" spans="2:14" x14ac:dyDescent="0.25">
      <c r="B24" s="224"/>
      <c r="C24" s="212" t="s">
        <v>254</v>
      </c>
      <c r="D24" s="213"/>
      <c r="E24" s="213">
        <f>+DIARIO!N37</f>
        <v>160</v>
      </c>
      <c r="F24" s="213"/>
      <c r="G24" s="213"/>
      <c r="H24" s="213"/>
      <c r="I24" s="214"/>
      <c r="J24" s="213">
        <f>(160/132)*62</f>
        <v>75.151515151515156</v>
      </c>
      <c r="K24" s="213"/>
      <c r="L24" s="213">
        <f>(160/132)*70</f>
        <v>84.848484848484844</v>
      </c>
      <c r="M24" s="215" t="s">
        <v>253</v>
      </c>
    </row>
    <row r="25" spans="2:14" x14ac:dyDescent="0.25">
      <c r="B25" s="224"/>
      <c r="C25" s="212" t="s">
        <v>255</v>
      </c>
      <c r="D25" s="213"/>
      <c r="E25" s="213">
        <f>+DIARIO!N38</f>
        <v>300</v>
      </c>
      <c r="F25" s="213"/>
      <c r="G25" s="213">
        <f>(300/142)*10</f>
        <v>21.12676056338028</v>
      </c>
      <c r="H25" s="213"/>
      <c r="I25" s="214"/>
      <c r="J25" s="213">
        <f>(300/142)*62</f>
        <v>130.98591549295773</v>
      </c>
      <c r="K25" s="213"/>
      <c r="L25" s="213">
        <f>(300/142)*70</f>
        <v>147.88732394366195</v>
      </c>
      <c r="M25" s="215" t="s">
        <v>253</v>
      </c>
    </row>
    <row r="26" spans="2:14" x14ac:dyDescent="0.25">
      <c r="B26" s="224">
        <v>3</v>
      </c>
      <c r="C26" s="303" t="s">
        <v>256</v>
      </c>
      <c r="D26" s="213">
        <v>250</v>
      </c>
      <c r="E26" s="213"/>
      <c r="F26" s="213"/>
      <c r="G26" s="213"/>
      <c r="H26" s="213"/>
      <c r="I26" s="214"/>
      <c r="J26" s="213"/>
      <c r="K26" s="213"/>
      <c r="L26" s="213"/>
      <c r="M26" s="215"/>
    </row>
    <row r="27" spans="2:14" x14ac:dyDescent="0.25">
      <c r="B27" s="224"/>
      <c r="C27" s="212" t="s">
        <v>257</v>
      </c>
      <c r="D27" s="213"/>
      <c r="E27" s="213">
        <f>+D26</f>
        <v>250</v>
      </c>
      <c r="F27" s="213"/>
      <c r="G27" s="213"/>
      <c r="H27" s="213"/>
      <c r="I27" s="214"/>
      <c r="J27" s="213"/>
      <c r="K27" s="213"/>
      <c r="L27" s="213">
        <f>+E27</f>
        <v>250</v>
      </c>
      <c r="M27" s="215" t="s">
        <v>253</v>
      </c>
    </row>
    <row r="28" spans="2:14" x14ac:dyDescent="0.25">
      <c r="B28" s="225">
        <v>4</v>
      </c>
      <c r="C28" s="302" t="s">
        <v>258</v>
      </c>
      <c r="D28" s="209">
        <v>4250</v>
      </c>
      <c r="E28" s="209">
        <f>+D28</f>
        <v>4250</v>
      </c>
      <c r="F28" s="209"/>
      <c r="G28" s="209">
        <v>250</v>
      </c>
      <c r="H28" s="209">
        <v>350</v>
      </c>
      <c r="I28" s="210">
        <v>150</v>
      </c>
      <c r="J28" s="209">
        <v>1550</v>
      </c>
      <c r="K28" s="209">
        <v>200</v>
      </c>
      <c r="L28" s="209">
        <v>1750</v>
      </c>
      <c r="M28" s="217" t="s">
        <v>253</v>
      </c>
    </row>
    <row r="29" spans="2:14" x14ac:dyDescent="0.25">
      <c r="B29" s="225">
        <v>5</v>
      </c>
      <c r="C29" s="302" t="s">
        <v>259</v>
      </c>
      <c r="D29" s="209">
        <f>+DIARIO!O70</f>
        <v>386.36</v>
      </c>
      <c r="E29" s="209">
        <f>+D29</f>
        <v>386.36</v>
      </c>
      <c r="F29" s="209"/>
      <c r="G29" s="209">
        <f>G28/11</f>
        <v>22.727272727272727</v>
      </c>
      <c r="H29" s="209">
        <f>H28/11</f>
        <v>31.818181818181817</v>
      </c>
      <c r="I29" s="210">
        <f t="shared" ref="I29:L29" si="2">I28/11</f>
        <v>13.636363636363637</v>
      </c>
      <c r="J29" s="209">
        <f t="shared" si="2"/>
        <v>140.90909090909091</v>
      </c>
      <c r="K29" s="209">
        <f t="shared" si="2"/>
        <v>18.181818181818183</v>
      </c>
      <c r="L29" s="209">
        <f t="shared" si="2"/>
        <v>159.09090909090909</v>
      </c>
      <c r="M29" s="217" t="s">
        <v>260</v>
      </c>
      <c r="N29" s="251"/>
    </row>
    <row r="30" spans="2:14" x14ac:dyDescent="0.25">
      <c r="B30" s="225">
        <v>6</v>
      </c>
      <c r="C30" s="302" t="s">
        <v>261</v>
      </c>
      <c r="D30" s="209">
        <f>+MAYORIZACION!D60</f>
        <v>185.45439999999999</v>
      </c>
      <c r="E30" s="209">
        <f>+D30</f>
        <v>185.45439999999999</v>
      </c>
      <c r="F30" s="209"/>
      <c r="G30" s="209">
        <f>(G28+G29)*4%</f>
        <v>10.90909090909091</v>
      </c>
      <c r="H30" s="209">
        <f>(H28+H29)*4%</f>
        <v>15.272727272727273</v>
      </c>
      <c r="I30" s="210">
        <f t="shared" ref="I30:K30" si="3">(I28+I29)*4%</f>
        <v>6.545454545454545</v>
      </c>
      <c r="J30" s="209">
        <f t="shared" si="3"/>
        <v>67.63636363636364</v>
      </c>
      <c r="K30" s="209">
        <f t="shared" si="3"/>
        <v>8.7272727272727284</v>
      </c>
      <c r="L30" s="209">
        <f>(L28+L29)*4%</f>
        <v>76.36363636363636</v>
      </c>
      <c r="M30" s="211" t="s">
        <v>262</v>
      </c>
    </row>
    <row r="31" spans="2:14" x14ac:dyDescent="0.25">
      <c r="B31" s="225">
        <v>7</v>
      </c>
      <c r="C31" s="304" t="s">
        <v>263</v>
      </c>
      <c r="D31" s="209">
        <f>+G31+H31+I31+J31+K31+L31</f>
        <v>386.36363636363637</v>
      </c>
      <c r="E31" s="209">
        <f>+D31</f>
        <v>386.36363636363637</v>
      </c>
      <c r="F31" s="209"/>
      <c r="G31" s="209">
        <f>G28/11</f>
        <v>22.727272727272727</v>
      </c>
      <c r="H31" s="209">
        <f t="shared" ref="H31:L31" si="4">H28/11</f>
        <v>31.818181818181817</v>
      </c>
      <c r="I31" s="210">
        <f t="shared" si="4"/>
        <v>13.636363636363637</v>
      </c>
      <c r="J31" s="209">
        <f t="shared" si="4"/>
        <v>140.90909090909091</v>
      </c>
      <c r="K31" s="209">
        <f t="shared" si="4"/>
        <v>18.181818181818183</v>
      </c>
      <c r="L31" s="209">
        <f t="shared" si="4"/>
        <v>159.09090909090909</v>
      </c>
      <c r="M31" s="211"/>
    </row>
    <row r="32" spans="2:14" x14ac:dyDescent="0.25">
      <c r="B32" s="224">
        <v>8</v>
      </c>
      <c r="C32" s="302" t="s">
        <v>264</v>
      </c>
      <c r="D32" s="213">
        <f>+MAYORIZACION!J60</f>
        <v>150</v>
      </c>
      <c r="E32" s="213"/>
      <c r="F32" s="213">
        <f>+D32</f>
        <v>150</v>
      </c>
      <c r="G32" s="213"/>
      <c r="H32" s="213"/>
      <c r="I32" s="214"/>
      <c r="J32" s="213"/>
      <c r="K32" s="213"/>
      <c r="L32" s="213"/>
      <c r="M32" s="215" t="s">
        <v>243</v>
      </c>
    </row>
    <row r="33" spans="2:13" x14ac:dyDescent="0.25">
      <c r="B33" s="224">
        <v>9</v>
      </c>
      <c r="C33" s="302" t="s">
        <v>265</v>
      </c>
      <c r="D33" s="213">
        <f>+MAYORIZACION!A68</f>
        <v>80</v>
      </c>
      <c r="E33" s="213"/>
      <c r="F33" s="213"/>
      <c r="G33" s="213"/>
      <c r="H33" s="213"/>
      <c r="I33" s="214"/>
      <c r="J33" s="213"/>
      <c r="K33" s="213"/>
      <c r="L33" s="213"/>
      <c r="M33" s="215"/>
    </row>
    <row r="34" spans="2:13" x14ac:dyDescent="0.25">
      <c r="B34" s="224"/>
      <c r="C34" s="212" t="s">
        <v>378</v>
      </c>
      <c r="D34" s="213"/>
      <c r="E34" s="213">
        <v>50</v>
      </c>
      <c r="F34" s="213"/>
      <c r="G34" s="213"/>
      <c r="H34" s="213"/>
      <c r="I34" s="214"/>
      <c r="J34" s="213"/>
      <c r="K34" s="213">
        <f>+E34</f>
        <v>50</v>
      </c>
      <c r="L34" s="213"/>
      <c r="M34" s="215"/>
    </row>
    <row r="35" spans="2:13" x14ac:dyDescent="0.25">
      <c r="B35" s="224"/>
      <c r="C35" s="212" t="s">
        <v>345</v>
      </c>
      <c r="D35" s="213"/>
      <c r="E35" s="213"/>
      <c r="F35" s="213">
        <v>30</v>
      </c>
      <c r="G35" s="213"/>
      <c r="H35" s="213"/>
      <c r="I35" s="214"/>
      <c r="J35" s="213"/>
      <c r="K35" s="213"/>
      <c r="L35" s="213"/>
      <c r="M35" s="215"/>
    </row>
    <row r="36" spans="2:13" x14ac:dyDescent="0.25">
      <c r="B36" s="224">
        <v>10</v>
      </c>
      <c r="C36" s="302" t="s">
        <v>266</v>
      </c>
      <c r="D36" s="213">
        <f>+MAYORIZACION!D68</f>
        <v>864</v>
      </c>
      <c r="E36" s="213"/>
      <c r="F36" s="213"/>
      <c r="G36" s="213"/>
      <c r="H36" s="213"/>
      <c r="I36" s="214"/>
      <c r="J36" s="213"/>
      <c r="K36" s="213"/>
      <c r="L36" s="213"/>
      <c r="M36" s="215" t="s">
        <v>301</v>
      </c>
    </row>
    <row r="37" spans="2:13" x14ac:dyDescent="0.25">
      <c r="B37" s="224"/>
      <c r="C37" s="212" t="s">
        <v>346</v>
      </c>
      <c r="D37" s="213"/>
      <c r="E37" s="213">
        <v>324</v>
      </c>
      <c r="F37" s="213"/>
      <c r="G37" s="213">
        <f>+E37</f>
        <v>324</v>
      </c>
      <c r="H37" s="213"/>
      <c r="I37" s="214"/>
      <c r="J37" s="213"/>
      <c r="K37" s="213"/>
      <c r="L37" s="213"/>
      <c r="M37" s="215"/>
    </row>
    <row r="38" spans="2:13" x14ac:dyDescent="0.25">
      <c r="B38" s="224"/>
      <c r="C38" s="212" t="s">
        <v>347</v>
      </c>
      <c r="D38" s="213"/>
      <c r="E38" s="213">
        <v>216</v>
      </c>
      <c r="F38" s="213"/>
      <c r="G38" s="213">
        <f t="shared" ref="G38:G40" si="5">+E38</f>
        <v>216</v>
      </c>
      <c r="H38" s="213"/>
      <c r="I38" s="214"/>
      <c r="J38" s="213"/>
      <c r="K38" s="213"/>
      <c r="L38" s="213"/>
      <c r="M38" s="215"/>
    </row>
    <row r="39" spans="2:13" x14ac:dyDescent="0.25">
      <c r="B39" s="224"/>
      <c r="C39" s="212" t="s">
        <v>348</v>
      </c>
      <c r="D39" s="213"/>
      <c r="E39" s="213">
        <v>108</v>
      </c>
      <c r="F39" s="213"/>
      <c r="G39" s="213">
        <f t="shared" si="5"/>
        <v>108</v>
      </c>
      <c r="H39" s="213"/>
      <c r="I39" s="214"/>
      <c r="J39" s="213"/>
      <c r="K39" s="213"/>
      <c r="L39" s="213"/>
      <c r="M39" s="215"/>
    </row>
    <row r="40" spans="2:13" x14ac:dyDescent="0.25">
      <c r="B40" s="224"/>
      <c r="C40" s="212" t="s">
        <v>349</v>
      </c>
      <c r="D40" s="213"/>
      <c r="E40" s="213">
        <v>216</v>
      </c>
      <c r="F40" s="213"/>
      <c r="G40" s="213">
        <f t="shared" si="5"/>
        <v>216</v>
      </c>
      <c r="H40" s="213"/>
      <c r="I40" s="214"/>
      <c r="J40" s="213"/>
      <c r="K40" s="213"/>
      <c r="L40" s="213"/>
      <c r="M40" s="215"/>
    </row>
    <row r="41" spans="2:13" x14ac:dyDescent="0.25">
      <c r="B41" s="224">
        <v>11</v>
      </c>
      <c r="C41" s="302" t="s">
        <v>267</v>
      </c>
      <c r="D41" s="213">
        <f>+MAYORIZACION!G68</f>
        <v>130</v>
      </c>
      <c r="E41" s="213">
        <v>50</v>
      </c>
      <c r="F41" s="213">
        <f>+D41-E41</f>
        <v>80</v>
      </c>
      <c r="G41" s="213"/>
      <c r="H41" s="213"/>
      <c r="I41" s="214"/>
      <c r="J41" s="213"/>
      <c r="K41" s="213"/>
      <c r="L41" s="213">
        <f>+E41</f>
        <v>50</v>
      </c>
      <c r="M41" s="215" t="s">
        <v>302</v>
      </c>
    </row>
    <row r="42" spans="2:13" x14ac:dyDescent="0.25">
      <c r="B42" s="225">
        <v>12</v>
      </c>
      <c r="C42" s="302" t="s">
        <v>303</v>
      </c>
      <c r="D42" s="209">
        <f>+MAYORIZACION!J68</f>
        <v>32.9</v>
      </c>
      <c r="E42" s="209">
        <f>+D42</f>
        <v>32.9</v>
      </c>
      <c r="F42" s="209"/>
      <c r="G42" s="209">
        <f>(32.9/14)*2</f>
        <v>4.7</v>
      </c>
      <c r="H42" s="209">
        <f>(32.9/14)*2</f>
        <v>4.7</v>
      </c>
      <c r="I42" s="210"/>
      <c r="J42" s="209">
        <f>(32.9/14)*8</f>
        <v>18.8</v>
      </c>
      <c r="K42" s="209"/>
      <c r="L42" s="209">
        <f>(32.9/14)*2</f>
        <v>4.7</v>
      </c>
      <c r="M42" s="217" t="s">
        <v>268</v>
      </c>
    </row>
    <row r="43" spans="2:13" x14ac:dyDescent="0.25">
      <c r="B43" s="224">
        <v>13</v>
      </c>
      <c r="C43" s="302" t="s">
        <v>269</v>
      </c>
      <c r="D43" s="213">
        <v>1407.56</v>
      </c>
      <c r="E43" s="213"/>
      <c r="F43" s="213">
        <f>+D43</f>
        <v>1407.56</v>
      </c>
      <c r="G43" s="213"/>
      <c r="H43" s="213"/>
      <c r="I43" s="214"/>
      <c r="J43" s="213"/>
      <c r="K43" s="213"/>
      <c r="L43" s="213"/>
      <c r="M43" s="215"/>
    </row>
    <row r="44" spans="2:13" x14ac:dyDescent="0.25">
      <c r="B44" s="224">
        <v>14</v>
      </c>
      <c r="C44" s="302" t="s">
        <v>270</v>
      </c>
      <c r="D44" s="213">
        <v>50</v>
      </c>
      <c r="E44" s="213"/>
      <c r="F44" s="213">
        <f>+D44</f>
        <v>50</v>
      </c>
      <c r="G44" s="213"/>
      <c r="H44" s="213"/>
      <c r="I44" s="214"/>
      <c r="J44" s="213"/>
      <c r="K44" s="213"/>
      <c r="L44" s="213"/>
      <c r="M44" s="215"/>
    </row>
    <row r="45" spans="2:13" x14ac:dyDescent="0.25">
      <c r="B45" s="224">
        <v>15</v>
      </c>
      <c r="C45" s="303" t="s">
        <v>271</v>
      </c>
      <c r="D45" s="213">
        <f>E47+F46</f>
        <v>4166.6666666666661</v>
      </c>
      <c r="E45" s="213"/>
      <c r="F45" s="213"/>
      <c r="G45" s="213"/>
      <c r="H45" s="213"/>
      <c r="I45" s="214"/>
      <c r="J45" s="213"/>
      <c r="K45" s="213"/>
      <c r="L45" s="213"/>
      <c r="M45" s="215"/>
    </row>
    <row r="46" spans="2:13" x14ac:dyDescent="0.25">
      <c r="B46" s="224"/>
      <c r="C46" s="216" t="s">
        <v>272</v>
      </c>
      <c r="D46" s="209"/>
      <c r="E46" s="209"/>
      <c r="F46" s="209">
        <f>+DIARIO!N179</f>
        <v>3333.333333333333</v>
      </c>
      <c r="G46" s="209"/>
      <c r="H46" s="209"/>
      <c r="I46" s="210"/>
      <c r="J46" s="209"/>
      <c r="K46" s="209"/>
      <c r="L46" s="209"/>
      <c r="M46" s="217"/>
    </row>
    <row r="47" spans="2:13" x14ac:dyDescent="0.25">
      <c r="B47" s="224"/>
      <c r="C47" s="216" t="s">
        <v>273</v>
      </c>
      <c r="D47" s="209"/>
      <c r="E47" s="209">
        <f>+DIARIO!N180</f>
        <v>833.33333333333326</v>
      </c>
      <c r="F47" s="209"/>
      <c r="G47" s="209"/>
      <c r="H47" s="209"/>
      <c r="I47" s="210"/>
      <c r="J47" s="209"/>
      <c r="K47" s="209"/>
      <c r="L47" s="209">
        <f>+E47</f>
        <v>833.33333333333326</v>
      </c>
      <c r="M47" s="217"/>
    </row>
    <row r="48" spans="2:13" x14ac:dyDescent="0.25">
      <c r="B48" s="224">
        <v>16</v>
      </c>
      <c r="C48" s="303" t="s">
        <v>274</v>
      </c>
      <c r="D48" s="213"/>
      <c r="E48" s="213"/>
      <c r="F48" s="213"/>
      <c r="G48" s="213"/>
      <c r="H48" s="213"/>
      <c r="I48" s="214"/>
      <c r="J48" s="213"/>
      <c r="K48" s="213"/>
      <c r="L48" s="213"/>
      <c r="M48" s="215"/>
    </row>
    <row r="49" spans="2:13" x14ac:dyDescent="0.25">
      <c r="B49" s="224"/>
      <c r="C49" s="216" t="s">
        <v>275</v>
      </c>
      <c r="D49" s="209">
        <v>50</v>
      </c>
      <c r="E49" s="209">
        <f>+D49</f>
        <v>50</v>
      </c>
      <c r="F49" s="209"/>
      <c r="G49" s="209"/>
      <c r="H49" s="209"/>
      <c r="I49" s="210"/>
      <c r="J49" s="209"/>
      <c r="K49" s="209">
        <f>+E49</f>
        <v>50</v>
      </c>
      <c r="L49" s="209"/>
      <c r="M49" s="217"/>
    </row>
    <row r="50" spans="2:13" x14ac:dyDescent="0.25">
      <c r="B50" s="224"/>
      <c r="D50" s="213"/>
      <c r="E50" s="213"/>
      <c r="F50" s="213"/>
      <c r="G50" s="213"/>
      <c r="H50" s="213"/>
      <c r="I50" s="214"/>
      <c r="J50" s="213"/>
      <c r="K50" s="213"/>
      <c r="L50" s="213"/>
      <c r="M50" s="215"/>
    </row>
    <row r="51" spans="2:13" x14ac:dyDescent="0.25">
      <c r="B51" s="224"/>
      <c r="C51" s="218"/>
      <c r="D51" s="219"/>
      <c r="E51" s="220"/>
      <c r="F51" s="220"/>
      <c r="G51" s="220"/>
      <c r="H51" s="220"/>
      <c r="I51" s="215"/>
      <c r="J51" s="220"/>
      <c r="K51" s="220"/>
      <c r="L51" s="220"/>
      <c r="M51" s="215"/>
    </row>
    <row r="52" spans="2:13" x14ac:dyDescent="0.25">
      <c r="B52" s="224"/>
      <c r="C52" s="218"/>
      <c r="D52" s="219"/>
      <c r="E52" s="220"/>
      <c r="F52" s="220"/>
      <c r="G52" s="220"/>
      <c r="H52" s="220"/>
      <c r="I52" s="215"/>
      <c r="J52" s="220"/>
      <c r="K52" s="220"/>
      <c r="L52" s="220"/>
      <c r="M52" s="215"/>
    </row>
    <row r="53" spans="2:13" x14ac:dyDescent="0.25">
      <c r="B53" s="224"/>
      <c r="C53" s="221" t="s">
        <v>276</v>
      </c>
      <c r="D53" s="223">
        <f>SUM(D6:D52)-D8</f>
        <v>19092.904703030305</v>
      </c>
      <c r="E53" s="222">
        <f>SUM(E6:E52)</f>
        <v>14042.011369696971</v>
      </c>
      <c r="F53" s="222">
        <f t="shared" ref="F53:K53" si="6">SUM(F6:F52)</f>
        <v>5050.8933333333334</v>
      </c>
      <c r="G53" s="223">
        <f t="shared" si="6"/>
        <v>1279.52373026035</v>
      </c>
      <c r="H53" s="223">
        <f t="shared" si="6"/>
        <v>1750.2757575757576</v>
      </c>
      <c r="I53" s="223">
        <f t="shared" si="6"/>
        <v>3897.4181818181814</v>
      </c>
      <c r="J53" s="223">
        <f t="shared" si="6"/>
        <v>2124.3919760990188</v>
      </c>
      <c r="K53" s="223">
        <f t="shared" si="6"/>
        <v>1475.0909090909092</v>
      </c>
      <c r="L53" s="223">
        <f>SUM(L6:L52)</f>
        <v>3515.3145966709344</v>
      </c>
      <c r="M53" s="215"/>
    </row>
    <row r="55" spans="2:13" x14ac:dyDescent="0.25">
      <c r="E55" s="251">
        <f>E53/25000</f>
        <v>0.56168045478787887</v>
      </c>
      <c r="F55" s="251"/>
      <c r="L55" s="251"/>
    </row>
    <row r="57" spans="2:13" x14ac:dyDescent="0.25">
      <c r="D57">
        <f>1250*1.25</f>
        <v>1562.5</v>
      </c>
      <c r="E57">
        <f>1.25*25000</f>
        <v>31250</v>
      </c>
      <c r="G57" s="251">
        <f>E53-E57</f>
        <v>-17207.988630303029</v>
      </c>
      <c r="J57" s="301">
        <f>SUM(G53:L53)</f>
        <v>14042.015151515152</v>
      </c>
      <c r="L57" s="251"/>
    </row>
    <row r="58" spans="2:13" x14ac:dyDescent="0.25">
      <c r="D58">
        <f>E57-D57</f>
        <v>29687.5</v>
      </c>
      <c r="E58" s="251"/>
    </row>
    <row r="59" spans="2:13" x14ac:dyDescent="0.25">
      <c r="E59">
        <v>25000</v>
      </c>
      <c r="F59" s="251"/>
      <c r="G59">
        <f>E57/E59</f>
        <v>1.25</v>
      </c>
    </row>
    <row r="60" spans="2:13" x14ac:dyDescent="0.25">
      <c r="D60" s="251"/>
      <c r="E60">
        <v>1250</v>
      </c>
    </row>
    <row r="61" spans="2:13" x14ac:dyDescent="0.25">
      <c r="D61" s="251"/>
      <c r="E61" s="376">
        <f>E59-E60</f>
        <v>23750</v>
      </c>
    </row>
    <row r="62" spans="2:13" x14ac:dyDescent="0.25">
      <c r="D62" s="251"/>
      <c r="E62" s="375">
        <f>35000/E61</f>
        <v>1.4736842105263157</v>
      </c>
    </row>
    <row r="63" spans="2:13" x14ac:dyDescent="0.25">
      <c r="D63" s="251"/>
    </row>
    <row r="64" spans="2:13" x14ac:dyDescent="0.25">
      <c r="D64" s="251"/>
    </row>
    <row r="65" spans="4:6" x14ac:dyDescent="0.25">
      <c r="D65" s="251"/>
    </row>
    <row r="66" spans="4:6" x14ac:dyDescent="0.25">
      <c r="E66" s="251"/>
      <c r="F66" s="251"/>
    </row>
  </sheetData>
  <mergeCells count="15">
    <mergeCell ref="D1:M1"/>
    <mergeCell ref="I4:I5"/>
    <mergeCell ref="J4:J5"/>
    <mergeCell ref="K4:K5"/>
    <mergeCell ref="L4:L5"/>
    <mergeCell ref="B2:M2"/>
    <mergeCell ref="B3:B5"/>
    <mergeCell ref="C3:C5"/>
    <mergeCell ref="D3:D5"/>
    <mergeCell ref="E3:E5"/>
    <mergeCell ref="F3:F5"/>
    <mergeCell ref="G3:L3"/>
    <mergeCell ref="M3:M5"/>
    <mergeCell ref="G4:G5"/>
    <mergeCell ref="H4:H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zoomScale="110" zoomScaleNormal="110" workbookViewId="0">
      <selection activeCell="B22" sqref="B22"/>
    </sheetView>
  </sheetViews>
  <sheetFormatPr baseColWidth="10" defaultRowHeight="15" x14ac:dyDescent="0.25"/>
  <cols>
    <col min="1" max="1" width="7.7109375" customWidth="1"/>
    <col min="2" max="2" width="23.28515625" customWidth="1"/>
    <col min="3" max="3" width="13.42578125" customWidth="1"/>
    <col min="4" max="4" width="12.7109375" customWidth="1"/>
    <col min="5" max="5" width="12.5703125" customWidth="1"/>
    <col min="6" max="6" width="13" customWidth="1"/>
    <col min="7" max="7" width="3.42578125" customWidth="1"/>
    <col min="9" max="9" width="3.5703125" customWidth="1"/>
  </cols>
  <sheetData>
    <row r="1" spans="1:24" x14ac:dyDescent="0.25">
      <c r="A1" s="482" t="s">
        <v>210</v>
      </c>
      <c r="B1" s="482" t="s">
        <v>211</v>
      </c>
      <c r="C1" s="482" t="s">
        <v>212</v>
      </c>
      <c r="D1" s="482"/>
      <c r="E1" s="482" t="s">
        <v>213</v>
      </c>
      <c r="F1" s="482"/>
      <c r="G1" s="482" t="s">
        <v>214</v>
      </c>
      <c r="H1" s="482"/>
      <c r="I1" s="482"/>
      <c r="J1" s="482"/>
      <c r="K1" s="482" t="s">
        <v>215</v>
      </c>
      <c r="L1" s="482"/>
      <c r="M1" s="482" t="s">
        <v>216</v>
      </c>
      <c r="N1" s="482"/>
      <c r="O1" s="482" t="s">
        <v>217</v>
      </c>
      <c r="P1" s="482"/>
      <c r="Q1" s="482" t="s">
        <v>218</v>
      </c>
      <c r="R1" s="482"/>
      <c r="S1" s="482"/>
      <c r="T1" s="482"/>
      <c r="U1" s="482" t="s">
        <v>219</v>
      </c>
      <c r="V1" s="482"/>
      <c r="W1" s="482" t="s">
        <v>220</v>
      </c>
      <c r="X1" s="482"/>
    </row>
    <row r="2" spans="1:24" x14ac:dyDescent="0.25">
      <c r="A2" s="482"/>
      <c r="B2" s="482"/>
      <c r="C2" s="192" t="s">
        <v>221</v>
      </c>
      <c r="D2" s="192" t="s">
        <v>222</v>
      </c>
      <c r="E2" s="192" t="s">
        <v>223</v>
      </c>
      <c r="F2" s="192" t="s">
        <v>136</v>
      </c>
      <c r="G2" s="482" t="s">
        <v>224</v>
      </c>
      <c r="H2" s="482"/>
      <c r="I2" s="482" t="s">
        <v>222</v>
      </c>
      <c r="J2" s="482"/>
      <c r="K2" s="193" t="s">
        <v>221</v>
      </c>
      <c r="L2" s="193" t="s">
        <v>222</v>
      </c>
      <c r="M2" s="194" t="s">
        <v>225</v>
      </c>
      <c r="N2" s="194" t="s">
        <v>226</v>
      </c>
      <c r="O2" s="194" t="s">
        <v>227</v>
      </c>
      <c r="P2" s="194" t="s">
        <v>228</v>
      </c>
      <c r="Q2" s="482" t="s">
        <v>221</v>
      </c>
      <c r="R2" s="482"/>
      <c r="S2" s="482" t="s">
        <v>222</v>
      </c>
      <c r="T2" s="482"/>
      <c r="U2" s="194" t="s">
        <v>225</v>
      </c>
      <c r="V2" s="194" t="s">
        <v>226</v>
      </c>
      <c r="W2" s="194" t="s">
        <v>227</v>
      </c>
      <c r="X2" s="194" t="s">
        <v>229</v>
      </c>
    </row>
    <row r="3" spans="1:24" x14ac:dyDescent="0.25">
      <c r="A3" s="195">
        <f>+MAYORIZACION!A2</f>
        <v>101</v>
      </c>
      <c r="B3" s="30"/>
      <c r="C3" s="196">
        <f>+MAYORIZACION!A12</f>
        <v>36109.706399999995</v>
      </c>
      <c r="D3" s="196">
        <f>+MAYORIZACION!B12</f>
        <v>29776.073199999999</v>
      </c>
      <c r="E3" s="197">
        <f>+C3-D3</f>
        <v>6333.6331999999966</v>
      </c>
      <c r="F3" s="197">
        <v>0</v>
      </c>
      <c r="G3" s="30"/>
      <c r="H3" s="30"/>
      <c r="I3" s="30"/>
      <c r="J3" s="30"/>
      <c r="K3" s="197"/>
      <c r="L3" s="30"/>
      <c r="M3" s="197"/>
      <c r="N3" s="197"/>
      <c r="O3" s="30"/>
      <c r="P3" s="30"/>
      <c r="Q3" s="30"/>
      <c r="R3" s="30"/>
      <c r="S3" s="30"/>
      <c r="T3" s="30"/>
      <c r="U3" s="197"/>
      <c r="V3" s="197"/>
      <c r="W3" s="30"/>
      <c r="X3" s="30"/>
    </row>
    <row r="4" spans="1:24" x14ac:dyDescent="0.25">
      <c r="A4" s="195">
        <f>+MAYORIZACION!D2</f>
        <v>104</v>
      </c>
      <c r="B4" s="30"/>
      <c r="C4" s="196">
        <f>+MAYORIZACION!D12</f>
        <v>114200</v>
      </c>
      <c r="D4" s="196">
        <f>+MAYORIZACION!E12</f>
        <v>39617.266399999993</v>
      </c>
      <c r="E4" s="197">
        <f t="shared" ref="E4:E41" si="0">+C4-D4</f>
        <v>74582.733600000007</v>
      </c>
      <c r="F4" s="197">
        <v>0</v>
      </c>
      <c r="G4" s="30"/>
      <c r="H4" s="30"/>
      <c r="I4" s="30"/>
      <c r="J4" s="30"/>
      <c r="K4" s="197"/>
      <c r="L4" s="30"/>
      <c r="M4" s="197"/>
      <c r="N4" s="197"/>
      <c r="O4" s="30"/>
      <c r="P4" s="30"/>
      <c r="Q4" s="30"/>
      <c r="R4" s="30"/>
      <c r="S4" s="30"/>
      <c r="T4" s="30"/>
      <c r="U4" s="197"/>
      <c r="V4" s="197"/>
      <c r="W4" s="30"/>
      <c r="X4" s="30"/>
    </row>
    <row r="5" spans="1:24" x14ac:dyDescent="0.25">
      <c r="A5" s="195">
        <f>+MAYORIZACION!G2</f>
        <v>121</v>
      </c>
      <c r="B5" s="30"/>
      <c r="C5" s="196">
        <f>+MAYORIZACION!G12</f>
        <v>47800</v>
      </c>
      <c r="D5" s="196">
        <f>+MAYORIZACION!H12</f>
        <v>47800</v>
      </c>
      <c r="E5" s="197">
        <f t="shared" si="0"/>
        <v>0</v>
      </c>
      <c r="F5" s="197">
        <v>0</v>
      </c>
      <c r="G5" s="30"/>
      <c r="H5" s="30"/>
      <c r="I5" s="30"/>
      <c r="J5" s="30"/>
      <c r="K5" s="197"/>
      <c r="L5" s="30"/>
      <c r="M5" s="197"/>
      <c r="N5" s="197"/>
      <c r="O5" s="30"/>
      <c r="P5" s="30"/>
      <c r="Q5" s="30"/>
      <c r="R5" s="30"/>
      <c r="S5" s="30"/>
      <c r="T5" s="30"/>
      <c r="U5" s="197"/>
      <c r="V5" s="197"/>
      <c r="W5" s="30"/>
      <c r="X5" s="30"/>
    </row>
    <row r="6" spans="1:24" x14ac:dyDescent="0.25">
      <c r="A6" s="195">
        <f>+MAYORIZACION!J2</f>
        <v>123</v>
      </c>
      <c r="B6" s="30"/>
      <c r="C6" s="196">
        <f>+MAYORIZACION!J12</f>
        <v>9500</v>
      </c>
      <c r="D6" s="196">
        <f>+MAYORIZACION!K12</f>
        <v>9500</v>
      </c>
      <c r="E6" s="197">
        <f t="shared" si="0"/>
        <v>0</v>
      </c>
      <c r="F6" s="197">
        <v>0</v>
      </c>
      <c r="G6" s="30"/>
      <c r="H6" s="30"/>
      <c r="I6" s="30"/>
      <c r="J6" s="30"/>
      <c r="K6" s="30"/>
      <c r="L6" s="197"/>
      <c r="M6" s="197"/>
      <c r="N6" s="197"/>
      <c r="O6" s="30"/>
      <c r="P6" s="30"/>
      <c r="Q6" s="30"/>
      <c r="R6" s="30"/>
      <c r="S6" s="30"/>
      <c r="T6" s="30"/>
      <c r="U6" s="197"/>
      <c r="V6" s="197"/>
      <c r="W6" s="30"/>
      <c r="X6" s="30"/>
    </row>
    <row r="7" spans="1:24" x14ac:dyDescent="0.25">
      <c r="A7" s="195">
        <f>+MAYORIZACION!A15</f>
        <v>243</v>
      </c>
      <c r="B7" s="30"/>
      <c r="C7" s="196">
        <f>+MAYORIZACION!A20</f>
        <v>1200</v>
      </c>
      <c r="D7" s="196">
        <f>+MAYORIZACION!B20</f>
        <v>1200</v>
      </c>
      <c r="E7" s="197">
        <f t="shared" si="0"/>
        <v>0</v>
      </c>
      <c r="F7" s="197">
        <v>0</v>
      </c>
      <c r="G7" s="30"/>
      <c r="H7" s="30"/>
      <c r="I7" s="30"/>
      <c r="J7" s="30"/>
      <c r="K7" s="197"/>
      <c r="L7" s="30"/>
      <c r="M7" s="197"/>
      <c r="N7" s="197"/>
      <c r="O7" s="30"/>
      <c r="P7" s="30"/>
      <c r="Q7" s="30"/>
      <c r="R7" s="30"/>
      <c r="S7" s="30"/>
      <c r="T7" s="30"/>
      <c r="U7" s="197"/>
      <c r="V7" s="197"/>
      <c r="W7" s="30"/>
      <c r="X7" s="30"/>
    </row>
    <row r="8" spans="1:24" x14ac:dyDescent="0.25">
      <c r="A8" s="195">
        <f>+MAYORIZACION!D15</f>
        <v>252</v>
      </c>
      <c r="B8" s="30"/>
      <c r="C8" s="196">
        <f>+MAYORIZACION!D20</f>
        <v>5503.6</v>
      </c>
      <c r="D8" s="196">
        <f>+MAYORIZACION!E20</f>
        <v>5503.6</v>
      </c>
      <c r="E8" s="197">
        <f t="shared" si="0"/>
        <v>0</v>
      </c>
      <c r="F8" s="197">
        <v>0</v>
      </c>
      <c r="G8" s="30"/>
      <c r="H8" s="30"/>
      <c r="I8" s="30"/>
      <c r="J8" s="30"/>
      <c r="K8" s="197"/>
      <c r="L8" s="30"/>
      <c r="M8" s="197"/>
      <c r="N8" s="197"/>
      <c r="O8" s="30"/>
      <c r="P8" s="30"/>
      <c r="Q8" s="30"/>
      <c r="R8" s="30"/>
      <c r="S8" s="30"/>
      <c r="T8" s="30"/>
      <c r="U8" s="197"/>
      <c r="V8" s="197"/>
      <c r="W8" s="30"/>
      <c r="X8" s="30"/>
    </row>
    <row r="9" spans="1:24" x14ac:dyDescent="0.25">
      <c r="A9" s="195">
        <f>+MAYORIZACION!G15</f>
        <v>261</v>
      </c>
      <c r="B9" s="30"/>
      <c r="C9" s="196">
        <f>+MAYORIZACION!G20</f>
        <v>250</v>
      </c>
      <c r="D9" s="196">
        <f>+MAYORIZACION!H20</f>
        <v>250</v>
      </c>
      <c r="E9" s="197">
        <f t="shared" si="0"/>
        <v>0</v>
      </c>
      <c r="F9" s="197">
        <v>0</v>
      </c>
      <c r="G9" s="30"/>
      <c r="H9" s="30"/>
      <c r="I9" s="30"/>
      <c r="J9" s="30"/>
      <c r="K9" s="197"/>
      <c r="L9" s="30"/>
      <c r="M9" s="197"/>
      <c r="N9" s="197"/>
      <c r="O9" s="30"/>
      <c r="P9" s="30"/>
      <c r="Q9" s="30"/>
      <c r="R9" s="30"/>
      <c r="S9" s="30"/>
      <c r="T9" s="30"/>
      <c r="U9" s="197"/>
      <c r="V9" s="197"/>
      <c r="W9" s="30"/>
      <c r="X9" s="30"/>
    </row>
    <row r="10" spans="1:24" x14ac:dyDescent="0.25">
      <c r="A10" s="195">
        <f>+MAYORIZACION!J15</f>
        <v>331</v>
      </c>
      <c r="B10" s="30"/>
      <c r="C10" s="196">
        <f>+MAYORIZACION!J20</f>
        <v>100000</v>
      </c>
      <c r="D10" s="196">
        <f>+MAYORIZACION!K20</f>
        <v>0</v>
      </c>
      <c r="E10" s="197">
        <f t="shared" si="0"/>
        <v>100000</v>
      </c>
      <c r="F10" s="197">
        <v>0</v>
      </c>
      <c r="G10" s="30"/>
      <c r="H10" s="30"/>
      <c r="I10" s="30"/>
      <c r="J10" s="30"/>
      <c r="K10" s="197"/>
      <c r="L10" s="30"/>
      <c r="M10" s="197"/>
      <c r="N10" s="197"/>
      <c r="O10" s="30"/>
      <c r="P10" s="30"/>
      <c r="Q10" s="30"/>
      <c r="R10" s="30"/>
      <c r="S10" s="30"/>
      <c r="T10" s="30"/>
      <c r="U10" s="197"/>
      <c r="V10" s="197"/>
      <c r="W10" s="30"/>
      <c r="X10" s="30"/>
    </row>
    <row r="11" spans="1:24" x14ac:dyDescent="0.25">
      <c r="A11" s="195">
        <f>+MAYORIZACION!A23</f>
        <v>332</v>
      </c>
      <c r="B11" s="30"/>
      <c r="C11" s="196">
        <f>+MAYORIZACION!A28</f>
        <v>200000</v>
      </c>
      <c r="D11" s="196">
        <f>+MAYORIZACION!B28</f>
        <v>0</v>
      </c>
      <c r="E11" s="197">
        <f t="shared" si="0"/>
        <v>200000</v>
      </c>
      <c r="F11" s="197">
        <v>0</v>
      </c>
      <c r="G11" s="30"/>
      <c r="H11" s="30"/>
      <c r="I11" s="30"/>
      <c r="J11" s="30"/>
      <c r="K11" s="197"/>
      <c r="L11" s="30"/>
      <c r="M11" s="197"/>
      <c r="N11" s="197"/>
      <c r="O11" s="30"/>
      <c r="P11" s="30"/>
      <c r="Q11" s="30"/>
      <c r="R11" s="30"/>
      <c r="S11" s="30"/>
      <c r="T11" s="30"/>
      <c r="U11" s="197"/>
      <c r="V11" s="197"/>
      <c r="W11" s="30"/>
      <c r="X11" s="30"/>
    </row>
    <row r="12" spans="1:24" x14ac:dyDescent="0.25">
      <c r="A12" s="195">
        <f>+MAYORIZACION!D23</f>
        <v>337</v>
      </c>
      <c r="B12" s="30"/>
      <c r="C12" s="196">
        <f>+MAYORIZACION!D28</f>
        <v>1200</v>
      </c>
      <c r="D12" s="196">
        <f>+MAYORIZACION!E28</f>
        <v>0</v>
      </c>
      <c r="E12" s="197">
        <f t="shared" si="0"/>
        <v>1200</v>
      </c>
      <c r="F12" s="197">
        <v>0</v>
      </c>
      <c r="G12" s="30"/>
      <c r="H12" s="30"/>
      <c r="I12" s="30"/>
      <c r="J12" s="30"/>
      <c r="K12" s="197"/>
      <c r="L12" s="30"/>
      <c r="M12" s="197"/>
      <c r="N12" s="197"/>
      <c r="O12" s="30"/>
      <c r="P12" s="30"/>
      <c r="Q12" s="30"/>
      <c r="R12" s="30"/>
      <c r="S12" s="30"/>
      <c r="T12" s="30"/>
      <c r="U12" s="197"/>
      <c r="V12" s="197"/>
      <c r="W12" s="30"/>
      <c r="X12" s="30"/>
    </row>
    <row r="13" spans="1:24" x14ac:dyDescent="0.25">
      <c r="A13" s="195">
        <f>+MAYORIZACION!G23</f>
        <v>373</v>
      </c>
      <c r="B13" s="30"/>
      <c r="C13" s="196">
        <f>+MAYORIZACION!G28</f>
        <v>1407.56</v>
      </c>
      <c r="D13" s="196">
        <f>+MAYORIZACION!H28</f>
        <v>1407.56</v>
      </c>
      <c r="E13" s="197">
        <f t="shared" si="0"/>
        <v>0</v>
      </c>
      <c r="F13" s="197">
        <v>0</v>
      </c>
      <c r="G13" s="30"/>
      <c r="H13" s="30"/>
      <c r="I13" s="30"/>
      <c r="J13" s="30"/>
      <c r="K13" s="197"/>
      <c r="L13" s="30"/>
      <c r="M13" s="197"/>
      <c r="N13" s="197"/>
      <c r="O13" s="30"/>
      <c r="P13" s="30"/>
      <c r="Q13" s="30"/>
      <c r="R13" s="30"/>
      <c r="S13" s="30"/>
      <c r="T13" s="30"/>
      <c r="U13" s="197"/>
      <c r="V13" s="197"/>
      <c r="W13" s="30"/>
      <c r="X13" s="30"/>
    </row>
    <row r="14" spans="1:24" x14ac:dyDescent="0.25">
      <c r="A14" s="195">
        <v>391</v>
      </c>
      <c r="B14" s="30"/>
      <c r="C14" s="196"/>
      <c r="D14" s="196">
        <f>+MAYORIZACION!K28+MAYORIZACION!J24</f>
        <v>4216.6666666666661</v>
      </c>
      <c r="E14" s="197"/>
      <c r="F14" s="197">
        <f>+D14</f>
        <v>4216.6666666666661</v>
      </c>
      <c r="G14" s="30"/>
      <c r="H14" s="30"/>
      <c r="I14" s="30"/>
      <c r="J14" s="30"/>
      <c r="K14" s="197"/>
      <c r="L14" s="30"/>
      <c r="M14" s="197"/>
      <c r="N14" s="197"/>
      <c r="O14" s="30"/>
      <c r="P14" s="30"/>
      <c r="Q14" s="30"/>
      <c r="R14" s="30"/>
      <c r="S14" s="30"/>
      <c r="T14" s="30"/>
      <c r="U14" s="197"/>
      <c r="V14" s="197"/>
      <c r="W14" s="30"/>
      <c r="X14" s="30"/>
    </row>
    <row r="15" spans="1:24" x14ac:dyDescent="0.25">
      <c r="A15" s="195">
        <f>+MAYORIZACION!A31</f>
        <v>403</v>
      </c>
      <c r="B15" s="30"/>
      <c r="C15" s="196">
        <f>+MAYORIZACION!A36</f>
        <v>0</v>
      </c>
      <c r="D15" s="196">
        <f>+MAYORIZACION!B36</f>
        <v>821.08119999999997</v>
      </c>
      <c r="E15" s="197">
        <v>0</v>
      </c>
      <c r="F15" s="197">
        <f>+D15-C15</f>
        <v>821.08119999999997</v>
      </c>
      <c r="G15" s="30"/>
      <c r="H15" s="30"/>
      <c r="I15" s="30"/>
      <c r="J15" s="30"/>
      <c r="K15" s="197"/>
      <c r="L15" s="30"/>
      <c r="M15" s="197"/>
      <c r="N15" s="197"/>
      <c r="O15" s="30"/>
      <c r="P15" s="30"/>
      <c r="Q15" s="30"/>
      <c r="R15" s="30"/>
      <c r="S15" s="30"/>
      <c r="T15" s="30"/>
      <c r="U15" s="197"/>
      <c r="V15" s="197"/>
      <c r="W15" s="30"/>
      <c r="X15" s="30"/>
    </row>
    <row r="16" spans="1:24" x14ac:dyDescent="0.25">
      <c r="A16" s="195">
        <f>+MAYORIZACION!D31</f>
        <v>411</v>
      </c>
      <c r="B16" s="30"/>
      <c r="C16" s="196">
        <f>+MAYORIZACION!D36</f>
        <v>4033.6332000000002</v>
      </c>
      <c r="D16" s="196">
        <f>+MAYORIZACION!E36</f>
        <v>4033.6332000000002</v>
      </c>
      <c r="E16" s="197">
        <f t="shared" si="0"/>
        <v>0</v>
      </c>
      <c r="F16" s="197">
        <v>0</v>
      </c>
      <c r="G16" s="30"/>
      <c r="H16" s="30"/>
      <c r="I16" s="30"/>
      <c r="J16" s="30"/>
      <c r="K16" s="197"/>
      <c r="L16" s="30"/>
      <c r="M16" s="197"/>
      <c r="N16" s="197"/>
      <c r="O16" s="30"/>
      <c r="P16" s="30"/>
      <c r="Q16" s="30"/>
      <c r="R16" s="30"/>
      <c r="S16" s="30"/>
      <c r="T16" s="30"/>
      <c r="U16" s="197"/>
      <c r="V16" s="197"/>
      <c r="W16" s="30"/>
      <c r="X16" s="30"/>
    </row>
    <row r="17" spans="1:24" x14ac:dyDescent="0.25">
      <c r="A17" s="195">
        <v>415</v>
      </c>
      <c r="B17" s="30"/>
      <c r="C17" s="196"/>
      <c r="D17" s="196">
        <f>+MAYORIZACION!H32</f>
        <v>386.36</v>
      </c>
      <c r="E17" s="197"/>
      <c r="F17" s="197">
        <f>+D17</f>
        <v>386.36</v>
      </c>
      <c r="G17" s="30"/>
      <c r="H17" s="30"/>
      <c r="I17" s="30"/>
      <c r="J17" s="30"/>
      <c r="K17" s="197"/>
      <c r="L17" s="30"/>
      <c r="M17" s="197"/>
      <c r="N17" s="197"/>
      <c r="O17" s="30"/>
      <c r="P17" s="30"/>
      <c r="Q17" s="30"/>
      <c r="R17" s="30"/>
      <c r="S17" s="30"/>
      <c r="T17" s="30"/>
      <c r="U17" s="197"/>
      <c r="V17" s="197"/>
      <c r="W17" s="30"/>
      <c r="X17" s="30"/>
    </row>
    <row r="18" spans="1:24" x14ac:dyDescent="0.25">
      <c r="A18" s="195">
        <f>+MAYORIZACION!J31</f>
        <v>421</v>
      </c>
      <c r="B18" s="30"/>
      <c r="C18" s="196">
        <f>+MAYORIZACION!J36</f>
        <v>5250</v>
      </c>
      <c r="D18" s="196">
        <f>+MAYORIZACION!K36</f>
        <v>5250</v>
      </c>
      <c r="E18" s="197">
        <f t="shared" si="0"/>
        <v>0</v>
      </c>
      <c r="F18" s="197">
        <v>0</v>
      </c>
      <c r="G18" s="30"/>
      <c r="H18" s="30"/>
      <c r="I18" s="30"/>
      <c r="J18" s="30"/>
      <c r="K18" s="197"/>
      <c r="L18" s="30"/>
      <c r="M18" s="197"/>
      <c r="N18" s="197"/>
      <c r="O18" s="30"/>
      <c r="P18" s="30"/>
      <c r="Q18" s="30"/>
      <c r="R18" s="30"/>
      <c r="S18" s="30"/>
      <c r="T18" s="30"/>
      <c r="U18" s="197"/>
      <c r="V18" s="197"/>
      <c r="W18" s="30"/>
      <c r="X18" s="30"/>
    </row>
    <row r="19" spans="1:24" x14ac:dyDescent="0.25">
      <c r="A19" s="195">
        <f>+MAYORIZACION!A39</f>
        <v>423</v>
      </c>
      <c r="B19" s="30"/>
      <c r="C19" s="196">
        <f>+MAYORIZACION!A44</f>
        <v>6000</v>
      </c>
      <c r="D19" s="196">
        <f>+MAYORIZACION!B44</f>
        <v>6000</v>
      </c>
      <c r="E19" s="197">
        <f t="shared" si="0"/>
        <v>0</v>
      </c>
      <c r="F19" s="197">
        <v>0</v>
      </c>
      <c r="G19" s="30"/>
      <c r="H19" s="30"/>
      <c r="I19" s="30"/>
      <c r="J19" s="30"/>
      <c r="K19" s="30"/>
      <c r="L19" s="197"/>
      <c r="M19" s="197"/>
      <c r="N19" s="197"/>
      <c r="O19" s="30"/>
      <c r="P19" s="30"/>
      <c r="Q19" s="30"/>
      <c r="R19" s="30"/>
      <c r="S19" s="30"/>
      <c r="T19" s="30"/>
      <c r="U19" s="197"/>
      <c r="V19" s="197"/>
      <c r="W19" s="30"/>
      <c r="X19" s="30"/>
    </row>
    <row r="20" spans="1:24" x14ac:dyDescent="0.25">
      <c r="A20" s="195">
        <f>+MAYORIZACION!D39</f>
        <v>451</v>
      </c>
      <c r="B20" s="30"/>
      <c r="C20" s="196">
        <f>+MAYORIZACION!D44</f>
        <v>20000</v>
      </c>
      <c r="D20" s="196">
        <f>+MAYORIZACION!E44</f>
        <v>20000</v>
      </c>
      <c r="E20" s="197">
        <f t="shared" si="0"/>
        <v>0</v>
      </c>
      <c r="F20" s="197">
        <v>0</v>
      </c>
      <c r="G20" s="30"/>
      <c r="H20" s="30"/>
      <c r="I20" s="30"/>
      <c r="J20" s="30"/>
      <c r="K20" s="30"/>
      <c r="L20" s="197"/>
      <c r="M20" s="197"/>
      <c r="N20" s="197"/>
      <c r="O20" s="30"/>
      <c r="P20" s="30"/>
      <c r="Q20" s="30"/>
      <c r="R20" s="30"/>
      <c r="S20" s="30"/>
      <c r="T20" s="30"/>
      <c r="U20" s="197"/>
      <c r="V20" s="197"/>
      <c r="W20" s="30"/>
      <c r="X20" s="30"/>
    </row>
    <row r="21" spans="1:24" x14ac:dyDescent="0.25">
      <c r="A21" s="195">
        <f>+MAYORIZACION!G39</f>
        <v>469</v>
      </c>
      <c r="B21" s="30"/>
      <c r="C21" s="196">
        <f>+MAYORIZACION!G44</f>
        <v>0</v>
      </c>
      <c r="D21" s="196">
        <f>+MAYORIZACION!H44</f>
        <v>1224</v>
      </c>
      <c r="E21" s="197"/>
      <c r="F21" s="197">
        <f>+D21</f>
        <v>1224</v>
      </c>
      <c r="G21" s="30"/>
      <c r="H21" s="30"/>
      <c r="I21" s="30"/>
      <c r="J21" s="30"/>
      <c r="K21" s="197"/>
      <c r="L21" s="30"/>
      <c r="M21" s="197"/>
      <c r="N21" s="197"/>
      <c r="O21" s="30"/>
      <c r="P21" s="30"/>
      <c r="Q21" s="30"/>
      <c r="R21" s="30"/>
      <c r="S21" s="30"/>
      <c r="T21" s="30"/>
      <c r="U21" s="197"/>
      <c r="V21" s="197"/>
      <c r="W21" s="30"/>
      <c r="X21" s="30"/>
    </row>
    <row r="22" spans="1:24" x14ac:dyDescent="0.25">
      <c r="A22" s="195">
        <f>+MAYORIZACION!J39</f>
        <v>503</v>
      </c>
      <c r="B22" s="30"/>
      <c r="C22" s="196">
        <f>+MAYORIZACION!J44</f>
        <v>0</v>
      </c>
      <c r="D22" s="196">
        <f>+MAYORIZACION!K44</f>
        <v>358153.6</v>
      </c>
      <c r="E22" s="197">
        <v>0</v>
      </c>
      <c r="F22" s="197">
        <f>+D22-C22</f>
        <v>358153.6</v>
      </c>
      <c r="G22" s="30"/>
      <c r="H22" s="30"/>
      <c r="I22" s="30"/>
      <c r="J22" s="30"/>
      <c r="K22" s="30"/>
      <c r="L22" s="30"/>
      <c r="M22" s="197"/>
      <c r="N22" s="197"/>
      <c r="O22" s="30"/>
      <c r="P22" s="30"/>
      <c r="Q22" s="30"/>
      <c r="R22" s="30"/>
      <c r="S22" s="198"/>
      <c r="T22" s="199"/>
      <c r="U22" s="30"/>
      <c r="V22" s="197"/>
      <c r="W22" s="30"/>
      <c r="X22" s="30"/>
    </row>
    <row r="23" spans="1:24" x14ac:dyDescent="0.25">
      <c r="A23" s="195">
        <f>+MAYORIZACION!A47</f>
        <v>604</v>
      </c>
      <c r="B23" s="30"/>
      <c r="C23" s="196">
        <f>+MAYORIZACION!A52</f>
        <v>250</v>
      </c>
      <c r="D23" s="196">
        <f>+MAYORIZACION!B52</f>
        <v>0</v>
      </c>
      <c r="E23" s="197">
        <f t="shared" si="0"/>
        <v>250</v>
      </c>
      <c r="F23" s="197">
        <v>0</v>
      </c>
      <c r="G23" s="30"/>
      <c r="H23" s="30"/>
      <c r="I23" s="30"/>
      <c r="J23" s="30"/>
      <c r="K23" s="30"/>
      <c r="L23" s="30"/>
      <c r="M23" s="197"/>
      <c r="N23" s="197"/>
      <c r="O23" s="30"/>
      <c r="P23" s="30"/>
      <c r="Q23" s="30"/>
      <c r="R23" s="30"/>
      <c r="S23" s="30"/>
      <c r="T23" s="196"/>
      <c r="U23" s="197"/>
      <c r="V23" s="197"/>
      <c r="W23" s="30"/>
      <c r="X23" s="30"/>
    </row>
    <row r="24" spans="1:24" x14ac:dyDescent="0.25">
      <c r="A24" s="195">
        <v>612</v>
      </c>
      <c r="B24" s="30"/>
      <c r="C24" s="196">
        <f>+MAYORIZACION!D52</f>
        <v>1200</v>
      </c>
      <c r="D24" s="196"/>
      <c r="E24" s="197">
        <f t="shared" si="0"/>
        <v>1200</v>
      </c>
      <c r="F24" s="197"/>
      <c r="G24" s="30"/>
      <c r="H24" s="30"/>
      <c r="I24" s="30"/>
      <c r="J24" s="30"/>
      <c r="K24" s="30"/>
      <c r="L24" s="30"/>
      <c r="M24" s="197"/>
      <c r="N24" s="197"/>
      <c r="O24" s="30"/>
      <c r="P24" s="30"/>
      <c r="Q24" s="30"/>
      <c r="R24" s="30"/>
      <c r="S24" s="30"/>
      <c r="T24" s="196"/>
      <c r="U24" s="197"/>
      <c r="V24" s="197"/>
      <c r="W24" s="30"/>
      <c r="X24" s="30"/>
    </row>
    <row r="25" spans="1:24" x14ac:dyDescent="0.25">
      <c r="A25" s="195">
        <v>613</v>
      </c>
      <c r="B25" s="30"/>
      <c r="C25" s="196">
        <f>+MAYORIZACION!G52</f>
        <v>5503.6</v>
      </c>
      <c r="D25" s="196"/>
      <c r="E25" s="197">
        <f t="shared" si="0"/>
        <v>5503.6</v>
      </c>
      <c r="F25" s="197"/>
      <c r="G25" s="30"/>
      <c r="H25" s="30"/>
      <c r="I25" s="30"/>
      <c r="J25" s="30"/>
      <c r="K25" s="30"/>
      <c r="L25" s="30"/>
      <c r="M25" s="197"/>
      <c r="N25" s="197"/>
      <c r="O25" s="30"/>
      <c r="P25" s="30"/>
      <c r="Q25" s="30"/>
      <c r="R25" s="30"/>
      <c r="S25" s="30"/>
      <c r="T25" s="196"/>
      <c r="U25" s="197"/>
      <c r="V25" s="197"/>
      <c r="W25" s="30"/>
      <c r="X25" s="30"/>
    </row>
    <row r="26" spans="1:24" x14ac:dyDescent="0.25">
      <c r="A26" s="195">
        <f>+MAYORIZACION!J47</f>
        <v>614</v>
      </c>
      <c r="B26" s="30"/>
      <c r="C26" s="196">
        <f>+MAYORIZACION!J52</f>
        <v>250</v>
      </c>
      <c r="D26" s="196">
        <f>+MAYORIZACION!K52</f>
        <v>250</v>
      </c>
      <c r="E26" s="197">
        <v>0</v>
      </c>
      <c r="F26" s="197">
        <f>+D26-C26</f>
        <v>0</v>
      </c>
      <c r="G26" s="30"/>
      <c r="H26" s="30"/>
      <c r="I26" s="30"/>
      <c r="J26" s="30"/>
      <c r="K26" s="30"/>
      <c r="L26" s="30"/>
      <c r="M26" s="197"/>
      <c r="N26" s="197"/>
      <c r="O26" s="30"/>
      <c r="P26" s="30"/>
      <c r="Q26" s="30"/>
      <c r="R26" s="30"/>
      <c r="S26" s="30"/>
      <c r="T26" s="196"/>
      <c r="U26" s="197"/>
      <c r="V26" s="197"/>
      <c r="W26" s="30"/>
      <c r="X26" s="30"/>
    </row>
    <row r="27" spans="1:24" x14ac:dyDescent="0.25">
      <c r="A27" s="195">
        <f>+MAYORIZACION!A55</f>
        <v>621</v>
      </c>
      <c r="B27" s="30"/>
      <c r="C27" s="196">
        <f>+MAYORIZACION!A60</f>
        <v>4636.3599999999997</v>
      </c>
      <c r="D27" s="196">
        <f>+MAYORIZACION!B60</f>
        <v>0</v>
      </c>
      <c r="E27" s="197">
        <f t="shared" si="0"/>
        <v>4636.3599999999997</v>
      </c>
      <c r="F27" s="197">
        <v>0</v>
      </c>
      <c r="G27" s="30"/>
      <c r="H27" s="30"/>
      <c r="I27" s="30"/>
      <c r="J27" s="30"/>
      <c r="K27" s="30"/>
      <c r="L27" s="197"/>
      <c r="M27" s="197"/>
      <c r="N27" s="197"/>
      <c r="O27" s="30"/>
      <c r="P27" s="30"/>
      <c r="Q27" s="30"/>
      <c r="R27" s="30"/>
      <c r="S27" s="30"/>
      <c r="T27" s="196"/>
      <c r="U27" s="197"/>
      <c r="V27" s="197"/>
      <c r="W27" s="30"/>
      <c r="X27" s="30"/>
    </row>
    <row r="28" spans="1:24" x14ac:dyDescent="0.25">
      <c r="A28" s="195">
        <f>+MAYORIZACION!D55</f>
        <v>627</v>
      </c>
      <c r="B28" s="30"/>
      <c r="C28" s="196">
        <f>+MAYORIZACION!D60</f>
        <v>185.45439999999999</v>
      </c>
      <c r="D28" s="196">
        <f>+MAYORIZACION!E60</f>
        <v>0</v>
      </c>
      <c r="E28" s="197">
        <f t="shared" si="0"/>
        <v>185.45439999999999</v>
      </c>
      <c r="F28" s="197">
        <v>0</v>
      </c>
      <c r="G28" s="30"/>
      <c r="H28" s="30"/>
      <c r="I28" s="30"/>
      <c r="J28" s="30"/>
      <c r="K28" s="30"/>
      <c r="L28" s="197"/>
      <c r="M28" s="197"/>
      <c r="N28" s="197"/>
      <c r="O28" s="30"/>
      <c r="P28" s="30"/>
      <c r="Q28" s="30"/>
      <c r="R28" s="30"/>
      <c r="S28" s="30"/>
      <c r="T28" s="196"/>
      <c r="U28" s="197"/>
      <c r="V28" s="197"/>
      <c r="W28" s="30"/>
      <c r="X28" s="30"/>
    </row>
    <row r="29" spans="1:24" x14ac:dyDescent="0.25">
      <c r="A29" s="195">
        <f>+MAYORIZACION!J55</f>
        <v>631</v>
      </c>
      <c r="B29" s="30"/>
      <c r="C29" s="196">
        <f>+MAYORIZACION!J60</f>
        <v>150</v>
      </c>
      <c r="D29" s="196">
        <f>+MAYORIZACION!K60</f>
        <v>0</v>
      </c>
      <c r="E29" s="197">
        <f t="shared" si="0"/>
        <v>150</v>
      </c>
      <c r="F29" s="197">
        <v>0</v>
      </c>
      <c r="G29" s="30"/>
      <c r="H29" s="30"/>
      <c r="I29" s="30"/>
      <c r="J29" s="30"/>
      <c r="K29" s="30"/>
      <c r="L29" s="197"/>
      <c r="M29" s="197"/>
      <c r="N29" s="197"/>
      <c r="O29" s="30"/>
      <c r="P29" s="30"/>
      <c r="Q29" s="30"/>
      <c r="R29" s="30"/>
      <c r="S29" s="30"/>
      <c r="T29" s="196"/>
      <c r="U29" s="197"/>
      <c r="V29" s="197"/>
      <c r="W29" s="30"/>
      <c r="X29" s="30"/>
    </row>
    <row r="30" spans="1:24" x14ac:dyDescent="0.25">
      <c r="A30" s="195">
        <f>+MAYORIZACION!A63</f>
        <v>634</v>
      </c>
      <c r="B30" s="30"/>
      <c r="C30" s="196">
        <f>+MAYORIZACION!A68</f>
        <v>80</v>
      </c>
      <c r="D30" s="196">
        <f>+MAYORIZACION!B68</f>
        <v>0</v>
      </c>
      <c r="E30" s="197">
        <f t="shared" si="0"/>
        <v>80</v>
      </c>
      <c r="F30" s="197">
        <v>0</v>
      </c>
      <c r="G30" s="30"/>
      <c r="H30" s="30"/>
      <c r="I30" s="30"/>
      <c r="J30" s="30"/>
      <c r="K30" s="30"/>
      <c r="L30" s="197"/>
      <c r="M30" s="197"/>
      <c r="N30" s="197"/>
      <c r="O30" s="30"/>
      <c r="P30" s="30"/>
      <c r="Q30" s="30"/>
      <c r="R30" s="30"/>
      <c r="S30" s="30"/>
      <c r="T30" s="196"/>
      <c r="U30" s="197"/>
      <c r="V30" s="197"/>
      <c r="W30" s="30"/>
      <c r="X30" s="30"/>
    </row>
    <row r="31" spans="1:24" x14ac:dyDescent="0.25">
      <c r="A31" s="195">
        <f>+MAYORIZACION!D63</f>
        <v>635</v>
      </c>
      <c r="B31" s="30"/>
      <c r="C31" s="196">
        <f>+MAYORIZACION!D68</f>
        <v>864</v>
      </c>
      <c r="D31" s="196">
        <f>+MAYORIZACION!E68</f>
        <v>0</v>
      </c>
      <c r="E31" s="197">
        <f t="shared" si="0"/>
        <v>864</v>
      </c>
      <c r="F31" s="197">
        <v>0</v>
      </c>
      <c r="G31" s="30"/>
      <c r="H31" s="30"/>
      <c r="I31" s="30"/>
      <c r="J31" s="30"/>
      <c r="K31" s="30"/>
      <c r="L31" s="197"/>
      <c r="M31" s="197"/>
      <c r="N31" s="197"/>
      <c r="O31" s="30"/>
      <c r="P31" s="30"/>
      <c r="Q31" s="30"/>
      <c r="R31" s="30"/>
      <c r="S31" s="30"/>
      <c r="T31" s="196"/>
      <c r="U31" s="197"/>
      <c r="V31" s="197"/>
      <c r="W31" s="30"/>
      <c r="X31" s="30"/>
    </row>
    <row r="32" spans="1:24" x14ac:dyDescent="0.25">
      <c r="A32" s="195">
        <f>+MAYORIZACION!G63</f>
        <v>636</v>
      </c>
      <c r="B32" s="30"/>
      <c r="C32" s="196">
        <f>+MAYORIZACION!G68</f>
        <v>130</v>
      </c>
      <c r="D32" s="196">
        <f>+MAYORIZACION!H68</f>
        <v>0</v>
      </c>
      <c r="E32" s="197">
        <f t="shared" si="0"/>
        <v>130</v>
      </c>
      <c r="F32" s="197">
        <v>0</v>
      </c>
      <c r="G32" s="30"/>
      <c r="H32" s="30"/>
      <c r="I32" s="30"/>
      <c r="J32" s="30"/>
      <c r="K32" s="30"/>
      <c r="L32" s="197"/>
      <c r="M32" s="197"/>
      <c r="N32" s="197"/>
      <c r="O32" s="30"/>
      <c r="P32" s="30"/>
      <c r="Q32" s="30"/>
      <c r="R32" s="30"/>
      <c r="S32" s="30"/>
      <c r="T32" s="196"/>
      <c r="U32" s="197"/>
      <c r="V32" s="197"/>
      <c r="W32" s="30"/>
      <c r="X32" s="30"/>
    </row>
    <row r="33" spans="1:24" x14ac:dyDescent="0.25">
      <c r="A33" s="195">
        <f>+MAYORIZACION!G55</f>
        <v>629</v>
      </c>
      <c r="B33" s="30"/>
      <c r="C33" s="196">
        <f>+MAYORIZACION!G60</f>
        <v>386.36</v>
      </c>
      <c r="D33" s="196">
        <f>+MAYORIZACION!H60</f>
        <v>0</v>
      </c>
      <c r="E33" s="197">
        <f t="shared" si="0"/>
        <v>386.36</v>
      </c>
      <c r="F33" s="197">
        <v>0</v>
      </c>
      <c r="G33" s="30"/>
      <c r="H33" s="30"/>
      <c r="I33" s="30"/>
      <c r="J33" s="30"/>
      <c r="K33" s="30"/>
      <c r="L33" s="197"/>
      <c r="M33" s="197"/>
      <c r="N33" s="197"/>
      <c r="O33" s="30"/>
      <c r="P33" s="30"/>
      <c r="Q33" s="30"/>
      <c r="R33" s="30"/>
      <c r="S33" s="30"/>
      <c r="T33" s="196"/>
      <c r="U33" s="197"/>
      <c r="V33" s="197"/>
      <c r="W33" s="30"/>
      <c r="X33" s="30"/>
    </row>
    <row r="34" spans="1:24" x14ac:dyDescent="0.25">
      <c r="A34" s="195">
        <f>+MAYORIZACION!J63</f>
        <v>644</v>
      </c>
      <c r="B34" s="30"/>
      <c r="C34" s="196">
        <f>+MAYORIZACION!J68</f>
        <v>32.9</v>
      </c>
      <c r="D34" s="196">
        <f>+MAYORIZACION!K68</f>
        <v>0</v>
      </c>
      <c r="E34" s="197">
        <f t="shared" si="0"/>
        <v>32.9</v>
      </c>
      <c r="F34" s="197">
        <v>0</v>
      </c>
      <c r="G34" s="30"/>
      <c r="H34" s="30"/>
      <c r="I34" s="30"/>
      <c r="J34" s="30"/>
      <c r="K34" s="30"/>
      <c r="L34" s="197"/>
      <c r="M34" s="197"/>
      <c r="N34" s="197"/>
      <c r="O34" s="30"/>
      <c r="P34" s="30"/>
      <c r="Q34" s="30"/>
      <c r="R34" s="30"/>
      <c r="S34" s="30"/>
      <c r="T34" s="196"/>
      <c r="U34" s="197"/>
      <c r="V34" s="197"/>
      <c r="W34" s="30"/>
      <c r="X34" s="30"/>
    </row>
    <row r="35" spans="1:24" x14ac:dyDescent="0.25">
      <c r="A35" s="195">
        <f>+MAYORIZACION!A71</f>
        <v>679</v>
      </c>
      <c r="B35" s="30"/>
      <c r="C35" s="196">
        <f>+MAYORIZACION!A76</f>
        <v>50</v>
      </c>
      <c r="D35" s="196">
        <f>+MAYORIZACION!B76</f>
        <v>0</v>
      </c>
      <c r="E35" s="197">
        <f t="shared" si="0"/>
        <v>50</v>
      </c>
      <c r="F35" s="197">
        <v>0</v>
      </c>
      <c r="G35" s="30"/>
      <c r="H35" s="30"/>
      <c r="I35" s="30"/>
      <c r="J35" s="30"/>
      <c r="K35" s="30"/>
      <c r="L35" s="197"/>
      <c r="M35" s="197"/>
      <c r="N35" s="197"/>
      <c r="O35" s="30"/>
      <c r="P35" s="30"/>
      <c r="Q35" s="30"/>
      <c r="R35" s="30"/>
      <c r="S35" s="30"/>
      <c r="T35" s="30"/>
      <c r="U35" s="30"/>
      <c r="V35" s="197"/>
      <c r="W35" s="30"/>
      <c r="X35" s="30"/>
    </row>
    <row r="36" spans="1:24" x14ac:dyDescent="0.25">
      <c r="A36" s="195">
        <v>681</v>
      </c>
      <c r="B36" s="30"/>
      <c r="C36" s="196">
        <f>+MAYORIZACION!D72</f>
        <v>4216.6666666666661</v>
      </c>
      <c r="D36" s="196"/>
      <c r="E36" s="197">
        <f t="shared" si="0"/>
        <v>4216.6666666666661</v>
      </c>
      <c r="F36" s="197"/>
      <c r="G36" s="30"/>
      <c r="H36" s="30"/>
      <c r="I36" s="30"/>
      <c r="J36" s="30"/>
      <c r="K36" s="30"/>
      <c r="L36" s="197"/>
      <c r="M36" s="197"/>
      <c r="N36" s="197"/>
      <c r="O36" s="30"/>
      <c r="P36" s="30"/>
      <c r="Q36" s="30"/>
      <c r="R36" s="30"/>
      <c r="S36" s="30"/>
      <c r="T36" s="30"/>
      <c r="U36" s="30"/>
      <c r="V36" s="197"/>
      <c r="W36" s="30"/>
      <c r="X36" s="30"/>
    </row>
    <row r="37" spans="1:24" x14ac:dyDescent="0.25">
      <c r="A37" s="195">
        <f>+MAYORIZACION!G71</f>
        <v>702</v>
      </c>
      <c r="B37" s="30"/>
      <c r="C37" s="196">
        <f>+MAYORIZACION!G76</f>
        <v>0</v>
      </c>
      <c r="D37" s="196">
        <f>+MAYORIZACION!H76</f>
        <v>35000</v>
      </c>
      <c r="E37" s="197">
        <v>0</v>
      </c>
      <c r="F37" s="197">
        <f>+D37-C37</f>
        <v>35000</v>
      </c>
      <c r="G37" s="30"/>
      <c r="H37" s="30"/>
      <c r="I37" s="30"/>
      <c r="J37" s="30"/>
      <c r="K37" s="30"/>
      <c r="L37" s="197"/>
      <c r="M37" s="197"/>
      <c r="N37" s="197"/>
      <c r="O37" s="30"/>
      <c r="P37" s="30"/>
      <c r="Q37" s="30"/>
      <c r="R37" s="30"/>
      <c r="S37" s="198"/>
      <c r="T37" s="199"/>
      <c r="U37" s="30"/>
      <c r="V37" s="197"/>
      <c r="W37" s="30"/>
      <c r="X37" s="30"/>
    </row>
    <row r="38" spans="1:24" x14ac:dyDescent="0.25">
      <c r="A38" s="195">
        <f>+MAYORIZACION!G78</f>
        <v>0</v>
      </c>
      <c r="B38" s="30"/>
      <c r="C38" s="196">
        <f>+MAYORIZACION!G83</f>
        <v>0</v>
      </c>
      <c r="D38" s="196">
        <f>+MAYORIZACION!H83</f>
        <v>0</v>
      </c>
      <c r="E38" s="197">
        <v>0</v>
      </c>
      <c r="F38" s="197">
        <f>+D38-C38</f>
        <v>0</v>
      </c>
      <c r="G38" s="30"/>
      <c r="H38" s="30"/>
      <c r="I38" s="30"/>
      <c r="J38" s="30"/>
      <c r="K38" s="197"/>
      <c r="L38" s="197"/>
      <c r="M38" s="30"/>
      <c r="N38" s="30"/>
      <c r="O38" s="197"/>
      <c r="P38" s="197"/>
      <c r="Q38" s="30"/>
      <c r="R38" s="30"/>
      <c r="S38" s="30"/>
      <c r="T38" s="30"/>
      <c r="U38" s="30"/>
      <c r="V38" s="30"/>
      <c r="W38" s="30"/>
      <c r="X38" s="30"/>
    </row>
    <row r="39" spans="1:24" x14ac:dyDescent="0.25">
      <c r="A39" s="195">
        <f>+MAYORIZACION!J78</f>
        <v>0</v>
      </c>
      <c r="B39" s="30"/>
      <c r="C39" s="196">
        <f>+MAYORIZACION!J83</f>
        <v>0</v>
      </c>
      <c r="D39" s="196">
        <f>+MAYORIZACION!K83</f>
        <v>0</v>
      </c>
      <c r="E39" s="197">
        <f t="shared" si="0"/>
        <v>0</v>
      </c>
      <c r="F39" s="197">
        <v>0</v>
      </c>
      <c r="G39" s="30"/>
      <c r="H39" s="30"/>
      <c r="I39" s="30"/>
      <c r="J39" s="30"/>
      <c r="K39" s="197"/>
      <c r="L39" s="30"/>
      <c r="M39" s="30"/>
      <c r="N39" s="30"/>
      <c r="O39" s="197"/>
      <c r="P39" s="197"/>
      <c r="Q39" s="30"/>
      <c r="R39" s="30"/>
      <c r="S39" s="30"/>
      <c r="T39" s="30"/>
      <c r="U39" s="30"/>
      <c r="V39" s="30"/>
      <c r="W39" s="30"/>
      <c r="X39" s="30"/>
    </row>
    <row r="40" spans="1:24" x14ac:dyDescent="0.25">
      <c r="A40" s="195">
        <f>+MAYORIZACION!A86</f>
        <v>0</v>
      </c>
      <c r="B40" s="30"/>
      <c r="C40" s="196">
        <f>+MAYORIZACION!A91</f>
        <v>0</v>
      </c>
      <c r="D40" s="196">
        <f>+MAYORIZACION!B91</f>
        <v>0</v>
      </c>
      <c r="E40" s="197">
        <f t="shared" si="0"/>
        <v>0</v>
      </c>
      <c r="F40" s="197">
        <v>0</v>
      </c>
      <c r="G40" s="200"/>
      <c r="H40" s="201"/>
      <c r="I40" s="30"/>
      <c r="J40" s="30"/>
      <c r="K40" s="197"/>
      <c r="L40" s="30"/>
      <c r="M40" s="30"/>
      <c r="N40" s="30"/>
      <c r="O40" s="197"/>
      <c r="P40" s="197"/>
      <c r="Q40" s="30"/>
      <c r="R40" s="30"/>
      <c r="S40" s="30"/>
      <c r="T40" s="30"/>
      <c r="U40" s="30"/>
      <c r="V40" s="30"/>
      <c r="W40" s="30"/>
      <c r="X40" s="30"/>
    </row>
    <row r="41" spans="1:24" x14ac:dyDescent="0.25">
      <c r="A41" s="195">
        <f>+MAYORIZACION!D86</f>
        <v>0</v>
      </c>
      <c r="B41" s="30"/>
      <c r="C41" s="196">
        <f>+MAYORIZACION!D91</f>
        <v>0</v>
      </c>
      <c r="D41" s="196">
        <f>+MAYORIZACION!E91</f>
        <v>0</v>
      </c>
      <c r="E41" s="197">
        <f t="shared" si="0"/>
        <v>0</v>
      </c>
      <c r="F41" s="197">
        <v>0</v>
      </c>
      <c r="G41" s="30"/>
      <c r="H41" s="30"/>
      <c r="I41" s="30"/>
      <c r="J41" s="30"/>
      <c r="K41" s="197"/>
      <c r="L41" s="30"/>
      <c r="M41" s="30"/>
      <c r="N41" s="30"/>
      <c r="O41" s="197"/>
      <c r="P41" s="197"/>
      <c r="Q41" s="30"/>
      <c r="R41" s="30"/>
      <c r="S41" s="30"/>
      <c r="T41" s="30"/>
      <c r="U41" s="30"/>
      <c r="V41" s="30"/>
      <c r="W41" s="30"/>
      <c r="X41" s="30"/>
    </row>
    <row r="42" spans="1:24" x14ac:dyDescent="0.25">
      <c r="A42" s="195"/>
      <c r="B42" s="30"/>
      <c r="C42" s="196"/>
      <c r="D42" s="196"/>
      <c r="E42" s="197"/>
      <c r="F42" s="197"/>
      <c r="G42" s="30"/>
      <c r="H42" s="30"/>
      <c r="I42" s="30"/>
      <c r="J42" s="30"/>
      <c r="K42" s="197"/>
      <c r="L42" s="30"/>
      <c r="M42" s="30"/>
      <c r="N42" s="30"/>
      <c r="O42" s="197"/>
      <c r="P42" s="197"/>
      <c r="Q42" s="30"/>
      <c r="R42" s="30"/>
      <c r="S42" s="30"/>
      <c r="T42" s="30"/>
      <c r="U42" s="30"/>
      <c r="V42" s="30"/>
      <c r="W42" s="30"/>
      <c r="X42" s="30"/>
    </row>
    <row r="43" spans="1:24" ht="15.75" x14ac:dyDescent="0.25">
      <c r="A43" s="202"/>
      <c r="C43" s="203">
        <f>SUM(C3:C42)</f>
        <v>570389.84066666663</v>
      </c>
      <c r="D43" s="203">
        <f>SUM(D3:D42)</f>
        <v>570389.84066666663</v>
      </c>
      <c r="E43" s="203">
        <f>SUM(E3:E42)</f>
        <v>399801.70786666666</v>
      </c>
      <c r="F43" s="203">
        <f>SUM(F3:F42)</f>
        <v>399801.70786666666</v>
      </c>
      <c r="G43" s="485"/>
      <c r="H43" s="486"/>
      <c r="I43" s="485"/>
      <c r="J43" s="486"/>
      <c r="K43" s="203">
        <f>SUM(K3:K42)</f>
        <v>0</v>
      </c>
      <c r="L43" s="203">
        <f>SUM(L3:L42)</f>
        <v>0</v>
      </c>
      <c r="M43" s="204">
        <f>SUM(M3:M42)</f>
        <v>0</v>
      </c>
      <c r="N43" s="204">
        <f>SUM(N3:N42)</f>
        <v>0</v>
      </c>
      <c r="O43" s="204">
        <f>SUM(O38:O42)</f>
        <v>0</v>
      </c>
      <c r="P43" s="204">
        <f>SUM(P38:P42)</f>
        <v>0</v>
      </c>
      <c r="Q43" s="158"/>
      <c r="R43" s="158"/>
      <c r="S43" s="158"/>
      <c r="T43" s="158"/>
      <c r="U43" s="204"/>
      <c r="V43" s="204"/>
      <c r="W43" s="204" t="e">
        <f>SUM(#REF!)</f>
        <v>#REF!</v>
      </c>
      <c r="X43" s="204" t="e">
        <f>SUM(#REF!)</f>
        <v>#REF!</v>
      </c>
    </row>
    <row r="44" spans="1:24" x14ac:dyDescent="0.25">
      <c r="A44" s="202"/>
      <c r="C44" s="205"/>
      <c r="G44" s="487"/>
      <c r="H44" s="487"/>
      <c r="I44" s="487"/>
      <c r="J44" s="487"/>
      <c r="M44" s="30"/>
      <c r="N44" s="197">
        <f>M43-N43</f>
        <v>0</v>
      </c>
      <c r="O44" s="197">
        <f>P43-O43</f>
        <v>0</v>
      </c>
      <c r="P44" s="30"/>
      <c r="Q44" s="488">
        <f>O44</f>
        <v>0</v>
      </c>
      <c r="R44" s="489"/>
      <c r="S44" s="488">
        <f>T22+T37</f>
        <v>0</v>
      </c>
      <c r="T44" s="489"/>
      <c r="U44" s="30"/>
      <c r="V44" s="30"/>
      <c r="W44" s="197" t="e">
        <f>X43-W43</f>
        <v>#REF!</v>
      </c>
      <c r="X44" s="30"/>
    </row>
    <row r="45" spans="1:24" ht="15.75" x14ac:dyDescent="0.25">
      <c r="A45" s="202"/>
      <c r="C45" s="205">
        <f>D43-C43</f>
        <v>0</v>
      </c>
      <c r="D45" s="205"/>
      <c r="G45" s="463"/>
      <c r="H45" s="463"/>
      <c r="I45" s="463"/>
      <c r="J45" s="463"/>
      <c r="M45" s="206">
        <f>SUM(M43:M44)</f>
        <v>0</v>
      </c>
      <c r="N45" s="206">
        <f>SUM(N43:N44)</f>
        <v>0</v>
      </c>
      <c r="O45" s="206">
        <f>SUM(O43:O44)</f>
        <v>0</v>
      </c>
      <c r="P45" s="206">
        <f>SUM(P43:P44)</f>
        <v>0</v>
      </c>
      <c r="Q45" s="483"/>
      <c r="R45" s="484"/>
      <c r="S45" s="483"/>
      <c r="T45" s="484"/>
      <c r="U45" s="206">
        <f>SUM(U3:U44)</f>
        <v>0</v>
      </c>
      <c r="V45" s="206">
        <f>SUM(V3:V44)</f>
        <v>0</v>
      </c>
      <c r="W45" s="207"/>
      <c r="X45" s="207"/>
    </row>
  </sheetData>
  <mergeCells count="25">
    <mergeCell ref="U1:V1"/>
    <mergeCell ref="W1:X1"/>
    <mergeCell ref="G45:H45"/>
    <mergeCell ref="I45:J45"/>
    <mergeCell ref="Q45:R45"/>
    <mergeCell ref="S45:T45"/>
    <mergeCell ref="G43:H43"/>
    <mergeCell ref="I43:J43"/>
    <mergeCell ref="G44:H44"/>
    <mergeCell ref="I44:J44"/>
    <mergeCell ref="Q44:R44"/>
    <mergeCell ref="S44:T44"/>
    <mergeCell ref="G2:H2"/>
    <mergeCell ref="I2:J2"/>
    <mergeCell ref="Q2:R2"/>
    <mergeCell ref="S2:T2"/>
    <mergeCell ref="K1:L1"/>
    <mergeCell ref="M1:N1"/>
    <mergeCell ref="O1:P1"/>
    <mergeCell ref="Q1:T1"/>
    <mergeCell ref="A1:A2"/>
    <mergeCell ref="B1:B2"/>
    <mergeCell ref="C1:D1"/>
    <mergeCell ref="E1:F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operaciones adicionales I</vt:lpstr>
      <vt:lpstr>CAJA</vt:lpstr>
      <vt:lpstr>RESUMEN DE CAJA</vt:lpstr>
      <vt:lpstr>BANCO</vt:lpstr>
      <vt:lpstr>DIARIO</vt:lpstr>
      <vt:lpstr>MAYORIZACION</vt:lpstr>
      <vt:lpstr>ACC</vt:lpstr>
      <vt:lpstr>BALANCE DE COMPROB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Full name</cp:lastModifiedBy>
  <cp:lastPrinted>2014-05-12T01:00:50Z</cp:lastPrinted>
  <dcterms:created xsi:type="dcterms:W3CDTF">2014-05-06T20:33:29Z</dcterms:created>
  <dcterms:modified xsi:type="dcterms:W3CDTF">2015-05-19T22:04:23Z</dcterms:modified>
</cp:coreProperties>
</file>